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anexa 7f" sheetId="1" r:id="rId1"/>
  </sheets>
  <definedNames>
    <definedName name="_xlnm._FilterDatabase" localSheetId="0" hidden="1">'anexa 7f'!$A$4:$J$189</definedName>
    <definedName name="_xlnm.Print_Titles" localSheetId="0">'anexa 7f'!$2:$4</definedName>
  </definedNames>
  <calcPr fullCalcOnLoad="1"/>
</workbook>
</file>

<file path=xl/sharedStrings.xml><?xml version="1.0" encoding="utf-8"?>
<sst xmlns="http://schemas.openxmlformats.org/spreadsheetml/2006/main" count="373" uniqueCount="229">
  <si>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</si>
  <si>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</si>
  <si>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</si>
  <si>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</si>
  <si>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</si>
  <si>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</si>
  <si>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</si>
  <si>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</si>
  <si>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</si>
  <si>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</si>
  <si>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</si>
  <si>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</si>
  <si>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</si>
  <si>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</si>
  <si>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</si>
  <si>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</si>
  <si>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</si>
  <si>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</si>
  <si>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Retea calculatoare (swich, cablare, soft retea, etc)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</si>
  <si>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</si>
  <si>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</si>
  <si>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</si>
  <si>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</si>
  <si>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</si>
  <si>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</si>
  <si>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</si>
  <si>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</si>
  <si>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</si>
  <si>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</si>
  <si>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</si>
  <si>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</si>
  <si>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</si>
  <si>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</si>
  <si>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</si>
  <si>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</si>
  <si>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</si>
  <si>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</si>
  <si>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84.C</t>
  </si>
  <si>
    <t>- pentru transport aerian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</si>
  <si>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</si>
  <si>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</si>
  <si>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</si>
  <si>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</si>
  <si>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</si>
  <si>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</si>
  <si>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</si>
  <si>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</si>
  <si>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</si>
  <si>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</si>
  <si>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</si>
  <si>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</si>
  <si>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</si>
  <si>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</si>
  <si>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</si>
  <si>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</si>
  <si>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</si>
  <si>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</si>
  <si>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</si>
  <si>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</si>
  <si>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</si>
  <si>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</si>
  <si>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</si>
  <si>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</si>
  <si>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</si>
  <si>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</si>
  <si>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</si>
  <si>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</si>
  <si>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</si>
  <si>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</si>
  <si>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</si>
  <si>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</si>
  <si>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</si>
  <si>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</si>
  <si>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</si>
  <si>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</si>
  <si>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</si>
  <si>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</si>
  <si>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</si>
  <si>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</si>
  <si>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</si>
  <si>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</si>
  <si>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</si>
  <si>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</si>
  <si>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</si>
  <si>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</si>
  <si>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</si>
  <si>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</si>
  <si>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</si>
  <si>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</si>
  <si>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</si>
  <si>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</si>
  <si>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</si>
  <si>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</si>
  <si>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</si>
  <si>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</si>
  <si>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</si>
  <si>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</si>
  <si>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</si>
  <si>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</si>
  <si>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</si>
  <si>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</si>
  <si>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</si>
  <si>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</si>
  <si>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</si>
  <si>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</si>
  <si>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</si>
  <si>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</si>
  <si>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</si>
  <si>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</si>
  <si>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</si>
  <si>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</si>
  <si>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</si>
  <si>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</si>
  <si>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</si>
  <si>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</si>
  <si>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</si>
  <si>
    <t>Taxă ISC Extindere şi copertină faţadă sudică aerogară</t>
  </si>
  <si>
    <t>Asistenţă tehnică din partea proiectantului DJ 135</t>
  </si>
  <si>
    <t>Soft calculatoare</t>
  </si>
  <si>
    <t>CENTRUL ŞCOLAR DE EDUCAŢIE INCLUZIVĂ NR.3 S.A.M. REGHIN</t>
  </si>
  <si>
    <t>65.B</t>
  </si>
  <si>
    <t>CSEI 3 Reghin - Amenajare acces principal şi secundar</t>
  </si>
  <si>
    <t>Maşină de spălat automată</t>
  </si>
  <si>
    <t>Venituri proprii+fond de dezvoltare</t>
  </si>
  <si>
    <t>TEATRUL ARIEL, din care:</t>
  </si>
  <si>
    <t>Amenajare clădire Teatrul pentru copii şi tineret ARIEL - lucrări nedecontate (debit sentinţă 396/2014)</t>
  </si>
  <si>
    <t>Clarineţi (1 pereche)</t>
  </si>
  <si>
    <t>Tubă Sib</t>
  </si>
  <si>
    <t>Obiecte muzeale secţia de istorie</t>
  </si>
  <si>
    <t>Taxe ISC pentru obiectivul "Extindere şi mansardare clădire birouri şi depozite la Secţia de Ştiinţe ale Naturii</t>
  </si>
  <si>
    <t>Expertiză tehnică+DALI "Reabilitare exterioară a Palatului Culturii"</t>
  </si>
  <si>
    <t>Licenţe programe editare grafică</t>
  </si>
  <si>
    <t>Drum de acces CRRN Primula şi CRRN Sf. Maria</t>
  </si>
  <si>
    <t>Autoturisme (2 buc) DGASPC</t>
  </si>
  <si>
    <t>TOTAL DOTĂRI</t>
  </si>
  <si>
    <t>Autoutilitare (3 buc)</t>
  </si>
  <si>
    <t xml:space="preserve">Extensie soluţie DATU </t>
  </si>
  <si>
    <t>Extensie a aplicaţiei IT de gestiune tehnică geospaţială a drumurilor judeţene</t>
  </si>
  <si>
    <t>Polisomnograf diagnostic+software+accesorii funcţionale+sistem video complet</t>
  </si>
  <si>
    <t>Amplasarea şi montarea a trei semibariere asupra imobilului ce aparţine domeniului public situat pe B-dul 1 Decembrie 1918, nr. 24-26</t>
  </si>
  <si>
    <t>Biomicroscop tip Hagstreit cu tonometru de aplanaţie Goldman şi cameră de luat vederi pentru clinica oftalmologie</t>
  </si>
  <si>
    <t>Tonometru non-contact necesar pentru diagnosticarea pacienţilor cu glaucom pentru clinica oftalmologie</t>
  </si>
  <si>
    <t>Sondă convexă pentru abdomen</t>
  </si>
  <si>
    <t>Concentrator de oxigen-2 buc</t>
  </si>
  <si>
    <t>Ecograf cu sondtă convexă (2-6 MHz) cu sondă convexă şi sondă liniară  (5-15 MHz)</t>
  </si>
  <si>
    <t>Reparaţii capitale drumuri şi alei</t>
  </si>
  <si>
    <t>Cabină portar</t>
  </si>
  <si>
    <t>SF + PT+ DTE diverse proiecte (SF realizare branşament de apă CIA Căpuşul de Cîmpie, SF reamenajare şi extindere clădiri la CIA Reghin, SF+PT consolidare casă la CRCDN Ceuaş nr. 417,  SF+PT reamenajare şi recompartimentare casă la CRCDN Ceuaş nr. 215, SF+PT+DE Branşament apă CRRN Luduş, DTE Drum de acces la CRRN Primula şi CRRN Sf. Maria Brîncoveneşti)</t>
  </si>
  <si>
    <t>Proiectare şiexecuţie scară exterioară de evacuare imobil str. Gh. Marinescu nr. 1 (secţia ATI şi secţia Gastroenterologie)</t>
  </si>
  <si>
    <t>Reparaţii capitale Compartiment Medicina Muncii</t>
  </si>
  <si>
    <t>Reparaţii capitale faţadă imobil Clinica Boli Infecţioase I</t>
  </si>
  <si>
    <t>Instalaţie gaze naturale Clinica Ginecologie</t>
  </si>
  <si>
    <t>Boiler preparare apă caldă menajeră 500 l- 3 buc</t>
  </si>
  <si>
    <t xml:space="preserve">Autoutilitară </t>
  </si>
  <si>
    <t>2.1</t>
  </si>
  <si>
    <t>2.2</t>
  </si>
  <si>
    <t>2.3</t>
  </si>
  <si>
    <t>2.4</t>
  </si>
  <si>
    <t>2.5</t>
  </si>
  <si>
    <t>2.6</t>
  </si>
  <si>
    <t>Dotarea cu utilaje a Serviciului Public de Întreţinere Drumuri Judeţene, din care:</t>
  </si>
  <si>
    <t>Buldo-excavator - 2 buc</t>
  </si>
  <si>
    <t>Maşină de marcaj rutier</t>
  </si>
  <si>
    <t xml:space="preserve">Remorcă basculabilă </t>
  </si>
  <si>
    <t>Motocositoare manuală - 2 buc</t>
  </si>
  <si>
    <t xml:space="preserve">Autovehicul multifuncţional cu dotări şI accesorii </t>
  </si>
  <si>
    <t>Investiţii conform program drumuri, din care:</t>
  </si>
  <si>
    <t>1.1</t>
  </si>
  <si>
    <t>1.2</t>
  </si>
  <si>
    <t>Reabilitare sistem rutier pe DJ Sîngeorgiu de Pădure - Bezidu Nou - lim.jud. Harghita, DJ136 km 1+900 - 8+000 şi DJ 136A km 0+000 - 3+800</t>
  </si>
  <si>
    <t>Reabilitare DJ 154J Breaza – Voivodeni – Glodeni km 0+631-4+726 (execuţie lucrări)</t>
  </si>
  <si>
    <t>Reînnoire licenţe antivirus</t>
  </si>
  <si>
    <t xml:space="preserve">Reînnoire licenţe antivirus - 250 buc </t>
  </si>
  <si>
    <t>PUZ Modernizare căi de comunicaţie ce deservesc Aeroportul</t>
  </si>
  <si>
    <t>65.C</t>
  </si>
  <si>
    <t>Microbuz şcolar</t>
  </si>
  <si>
    <t>66,C</t>
  </si>
  <si>
    <t xml:space="preserve">Proiect tehnic privind modificarea puţului de lift  - imobil str. Gh. Marinescu nr. 1 </t>
  </si>
  <si>
    <t>Monitor funcţii vitale 4 buc</t>
  </si>
  <si>
    <t>Cardiotocograf 3 buc</t>
  </si>
  <si>
    <t>Aspirator chirurgical 4 buc</t>
  </si>
  <si>
    <t>SF Reparaţii capitale Pavilion Neuropsihiatrie</t>
  </si>
  <si>
    <t>Grup pompare apă potabilă</t>
  </si>
  <si>
    <t xml:space="preserve">Rezervor sub presiune 4 buc </t>
  </si>
  <si>
    <t>Racord la reţeaua de apă</t>
  </si>
  <si>
    <t>Obiecte muzeale Secţia de arheologie, etnografie şi achitarea recompensei băneşti  pentru desacoperire tezaur dacic</t>
  </si>
  <si>
    <t>Baze de date Biblioteca Muzeului Judeţean Mureş, Bază de date secţia Istorie</t>
  </si>
  <si>
    <t>Calculatoare expoziţie clădire fostul Comisariat Militar din Cetatea Târgu-Mureş - 2 buc</t>
  </si>
  <si>
    <t>Laptop</t>
  </si>
  <si>
    <t>Motocoase (1,5-2,5 CP) - 3 buc - Parc dendrologic Gurghiu</t>
  </si>
  <si>
    <t>Motofierăstrău (3,2-3,6 CP) - 3 buc - Parc dendrologic Gurghiu</t>
  </si>
  <si>
    <t>Motofierăstrău elagaj  - Parc dendrologic Gurghiu</t>
  </si>
  <si>
    <t xml:space="preserve">Atomizor pentru lucrări fitosanitare + accesorii  - Parc dendrologic Gurghiu </t>
  </si>
  <si>
    <t xml:space="preserve">Motoprăşitoare (4-5 CP)  - Parc dendrologic Gurghiu </t>
  </si>
  <si>
    <t xml:space="preserve">Motounealtă gard viu (4 CP)  - Parc dendrologic Gurghiu </t>
  </si>
  <si>
    <t xml:space="preserve">Tractoraş tuns iarbă+kituri echipamente  - Parc dendrologic Gurghiu </t>
  </si>
  <si>
    <t>3</t>
  </si>
  <si>
    <t>Echipament de calcul desktop -2 buc</t>
  </si>
  <si>
    <t>Program informatic modul GeCon-gestiunea contractelor</t>
  </si>
  <si>
    <t>Branşament de apă la CIA Căpuşu de Cîmpie</t>
  </si>
  <si>
    <t>83</t>
  </si>
  <si>
    <t>83.C</t>
  </si>
  <si>
    <t>CAMERA AGRICOLĂ</t>
  </si>
  <si>
    <t>Dotari independente terminal</t>
  </si>
  <si>
    <t>Tunel extensibil grupare pasageri</t>
  </si>
  <si>
    <t>Studiu şi proiect alimentare electrică din a doua sursă publică cu înlocuirea transformatoarelor la 1000 KVA</t>
  </si>
  <si>
    <t xml:space="preserve"> Proiect tehnic drum tehnologic perimetral</t>
  </si>
  <si>
    <t>Studiu şi proiect optimizare tablou electric general de joasă tensiune la uzina electrică</t>
  </si>
  <si>
    <t>Studiu de fezabilitate Modernizare căi de comunicaţii ce deservesc aeroportul</t>
  </si>
  <si>
    <t>SF" Extindere pista de decolare-aterizare si platforme de operare pentru aeronave,inclusiv instalatii aferente si modernizarea instalatiilor de balizaj pentru apropiere de precizie corespunzatoare categoriei a IIaOACI"</t>
  </si>
  <si>
    <t>6.1</t>
  </si>
  <si>
    <t>6.2</t>
  </si>
  <si>
    <t>6.3</t>
  </si>
  <si>
    <t>Notebook</t>
  </si>
  <si>
    <t>Calculatoare -13 buc</t>
  </si>
  <si>
    <t>Imprimantă color A3</t>
  </si>
  <si>
    <t>Echipamente de calcul,din care:</t>
  </si>
  <si>
    <t>Corn dublu  cu cutie</t>
  </si>
  <si>
    <t>Tubă Sib cu cutie tip flight case</t>
  </si>
  <si>
    <t xml:space="preserve">Autospeciala de stins incendii de aeroport </t>
  </si>
  <si>
    <t>Proiect tehnic "Instalaţii de alarmare în caz de incediu şi efracţie la Arhiva Tehnică a Consiliului Judeţean, str. Primăriei nr.2"</t>
  </si>
  <si>
    <t>Schi de tură cu legături - 6 perechi</t>
  </si>
  <si>
    <t>Injectomat 13 buc</t>
  </si>
  <si>
    <t>American Corner</t>
  </si>
  <si>
    <t>5=6+7+8+9</t>
  </si>
  <si>
    <t>American Corner, din care:</t>
  </si>
  <si>
    <t xml:space="preserve">Program Office </t>
  </si>
  <si>
    <t>Sistem de operare</t>
  </si>
  <si>
    <t>Documentaţii tehnice în vederea obţinerii finanţării nerambursabile: 
- SF clădire Apollo
- SF Reabilitare sediu administrativ
- PT iluminat arhitectural sediu administrativ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
- SF privind construirea de posturi salvamont, refugii montane, amenajare şi marcare trasee montane
- SF privind construirea unei piste de cicloturism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</si>
</sst>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rebuchet MS"/>
      <family val="2"/>
    </font>
    <font>
      <sz val="10"/>
      <name val="Arial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8"/>
      <name val="Trebuchet MS"/>
      <family val="2"/>
    </font>
    <font>
      <b/>
      <sz val="9"/>
      <color indexed="12"/>
      <name val="Trebuchet MS"/>
      <family val="2"/>
    </font>
    <font>
      <b/>
      <sz val="9"/>
      <color indexed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0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3333FF"/>
      <name val="Trebuchet MS"/>
      <family val="2"/>
    </font>
    <font>
      <b/>
      <sz val="9"/>
      <color rgb="FF3333FF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7FFA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8" fillId="33" borderId="12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wrapText="1"/>
    </xf>
    <xf numFmtId="3" fontId="48" fillId="33" borderId="12" xfId="0" applyNumberFormat="1" applyFont="1" applyFill="1" applyBorder="1" applyAlignment="1">
      <alignment/>
    </xf>
    <xf numFmtId="0" fontId="49" fillId="34" borderId="10" xfId="0" applyFont="1" applyFill="1" applyBorder="1" applyAlignment="1">
      <alignment wrapText="1"/>
    </xf>
    <xf numFmtId="49" fontId="49" fillId="34" borderId="10" xfId="56" applyNumberFormat="1" applyFont="1" applyFill="1" applyBorder="1" applyAlignment="1">
      <alignment wrapText="1"/>
      <protection/>
    </xf>
    <xf numFmtId="3" fontId="49" fillId="34" borderId="12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3" fontId="50" fillId="0" borderId="10" xfId="0" applyNumberFormat="1" applyFont="1" applyBorder="1" applyAlignment="1">
      <alignment/>
    </xf>
    <xf numFmtId="0" fontId="47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center" wrapText="1"/>
    </xf>
    <xf numFmtId="3" fontId="4" fillId="35" borderId="10" xfId="0" applyNumberFormat="1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47" fillId="35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3" fontId="4" fillId="36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47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wrapText="1"/>
    </xf>
    <xf numFmtId="0" fontId="50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47" fillId="35" borderId="0" xfId="0" applyFont="1" applyFill="1" applyAlignment="1">
      <alignment wrapText="1"/>
    </xf>
    <xf numFmtId="0" fontId="5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3" fontId="50" fillId="35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wrapText="1"/>
    </xf>
    <xf numFmtId="3" fontId="47" fillId="35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/>
    </xf>
    <xf numFmtId="49" fontId="49" fillId="37" borderId="10" xfId="56" applyNumberFormat="1" applyFont="1" applyFill="1" applyBorder="1" applyAlignment="1">
      <alignment horizontal="right" wrapText="1"/>
      <protection/>
    </xf>
    <xf numFmtId="49" fontId="49" fillId="37" borderId="10" xfId="56" applyNumberFormat="1" applyFont="1" applyFill="1" applyBorder="1" applyAlignment="1">
      <alignment horizontal="center" wrapText="1"/>
      <protection/>
    </xf>
    <xf numFmtId="2" fontId="49" fillId="34" borderId="13" xfId="0" applyNumberFormat="1" applyFont="1" applyFill="1" applyBorder="1" applyAlignment="1">
      <alignment horizontal="left" wrapText="1"/>
    </xf>
    <xf numFmtId="3" fontId="49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left" wrapText="1"/>
    </xf>
    <xf numFmtId="0" fontId="49" fillId="34" borderId="10" xfId="0" applyFont="1" applyFill="1" applyBorder="1" applyAlignment="1">
      <alignment horizontal="center" wrapText="1"/>
    </xf>
    <xf numFmtId="49" fontId="49" fillId="37" borderId="10" xfId="56" applyNumberFormat="1" applyFont="1" applyFill="1" applyBorder="1" applyAlignment="1">
      <alignment wrapText="1"/>
      <protection/>
    </xf>
    <xf numFmtId="49" fontId="5" fillId="35" borderId="10" xfId="56" applyNumberFormat="1" applyFont="1" applyFill="1" applyBorder="1" applyAlignment="1">
      <alignment horizontal="right" wrapText="1"/>
      <protection/>
    </xf>
    <xf numFmtId="49" fontId="5" fillId="35" borderId="10" xfId="56" applyNumberFormat="1" applyFont="1" applyFill="1" applyBorder="1" applyAlignment="1">
      <alignment horizontal="center" wrapText="1"/>
      <protection/>
    </xf>
    <xf numFmtId="49" fontId="49" fillId="34" borderId="10" xfId="56" applyNumberFormat="1" applyFont="1" applyFill="1" applyBorder="1" applyAlignment="1">
      <alignment horizontal="right" wrapText="1"/>
      <protection/>
    </xf>
    <xf numFmtId="49" fontId="49" fillId="34" borderId="10" xfId="56" applyNumberFormat="1" applyFont="1" applyFill="1" applyBorder="1" applyAlignment="1">
      <alignment horizontal="center" wrapText="1"/>
      <protection/>
    </xf>
    <xf numFmtId="3" fontId="47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49" fontId="7" fillId="34" borderId="10" xfId="56" applyNumberFormat="1" applyFont="1" applyFill="1" applyBorder="1" applyAlignment="1">
      <alignment wrapText="1"/>
      <protection/>
    </xf>
    <xf numFmtId="0" fontId="51" fillId="38" borderId="10" xfId="0" applyFont="1" applyFill="1" applyBorder="1" applyAlignment="1">
      <alignment horizontal="right" wrapText="1"/>
    </xf>
    <xf numFmtId="0" fontId="51" fillId="38" borderId="10" xfId="0" applyFont="1" applyFill="1" applyBorder="1" applyAlignment="1">
      <alignment horizontal="center" wrapText="1"/>
    </xf>
    <xf numFmtId="0" fontId="51" fillId="38" borderId="10" xfId="0" applyFont="1" applyFill="1" applyBorder="1" applyAlignment="1">
      <alignment wrapText="1"/>
    </xf>
    <xf numFmtId="3" fontId="51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42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wrapText="1"/>
    </xf>
    <xf numFmtId="0" fontId="52" fillId="35" borderId="10" xfId="0" applyFont="1" applyFill="1" applyBorder="1" applyAlignment="1">
      <alignment horizontal="left" wrapText="1"/>
    </xf>
    <xf numFmtId="3" fontId="52" fillId="35" borderId="10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/>
    </xf>
    <xf numFmtId="0" fontId="52" fillId="0" borderId="10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/>
    </xf>
    <xf numFmtId="49" fontId="7" fillId="34" borderId="10" xfId="56" applyNumberFormat="1" applyFont="1" applyFill="1" applyBorder="1" applyAlignment="1">
      <alignment horizontal="center" wrapText="1"/>
      <protection/>
    </xf>
    <xf numFmtId="0" fontId="8" fillId="38" borderId="10" xfId="0" applyFont="1" applyFill="1" applyBorder="1" applyAlignment="1">
      <alignment horizontal="right" wrapText="1"/>
    </xf>
    <xf numFmtId="0" fontId="8" fillId="38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3" fontId="51" fillId="33" borderId="10" xfId="0" applyNumberFormat="1" applyFont="1" applyFill="1" applyBorder="1" applyAlignment="1">
      <alignment horizontal="right"/>
    </xf>
    <xf numFmtId="3" fontId="47" fillId="35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3" fontId="4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49" fontId="51" fillId="33" borderId="10" xfId="56" applyNumberFormat="1" applyFont="1" applyFill="1" applyBorder="1" applyAlignment="1">
      <alignment horizontal="right" wrapText="1"/>
      <protection/>
    </xf>
    <xf numFmtId="49" fontId="5" fillId="33" borderId="10" xfId="56" applyNumberFormat="1" applyFont="1" applyFill="1" applyBorder="1" applyAlignment="1">
      <alignment horizontal="right" wrapText="1"/>
      <protection/>
    </xf>
    <xf numFmtId="0" fontId="47" fillId="0" borderId="10" xfId="0" applyFont="1" applyFill="1" applyBorder="1" applyAlignment="1">
      <alignment wrapText="1"/>
    </xf>
    <xf numFmtId="3" fontId="49" fillId="34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0" fontId="53" fillId="39" borderId="10" xfId="0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vertical="center" wrapText="1"/>
    </xf>
    <xf numFmtId="3" fontId="54" fillId="39" borderId="10" xfId="0" applyNumberFormat="1" applyFont="1" applyFill="1" applyBorder="1" applyAlignment="1">
      <alignment/>
    </xf>
    <xf numFmtId="0" fontId="54" fillId="39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3" fontId="51" fillId="33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wrapText="1"/>
    </xf>
    <xf numFmtId="49" fontId="47" fillId="0" borderId="10" xfId="0" applyNumberFormat="1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0" fontId="50" fillId="35" borderId="0" xfId="0" applyFont="1" applyFill="1" applyAlignment="1">
      <alignment/>
    </xf>
    <xf numFmtId="0" fontId="29" fillId="0" borderId="10" xfId="0" applyFont="1" applyFill="1" applyBorder="1" applyAlignment="1">
      <alignment wrapText="1"/>
    </xf>
    <xf numFmtId="3" fontId="6" fillId="35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134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SheetLayoutView="100" workbookViewId="0" topLeftCell="A4">
      <selection activeCell="L11" sqref="L11"/>
    </sheetView>
  </sheetViews>
  <sheetFormatPr defaultColWidth="9.140625" defaultRowHeight="15"/>
  <cols>
    <col min="1" max="2" width="5.00390625" style="1" customWidth="1"/>
    <col min="3" max="3" width="35.421875" style="1" customWidth="1"/>
    <col min="4" max="4" width="10.421875" style="2" customWidth="1"/>
    <col min="5" max="6" width="11.140625" style="2" customWidth="1"/>
    <col min="7" max="7" width="10.8515625" style="2" customWidth="1"/>
    <col min="8" max="9" width="7.421875" style="2" customWidth="1"/>
    <col min="10" max="10" width="11.00390625" style="2" customWidth="1"/>
    <col min="11" max="16384" width="9.140625" style="2" customWidth="1"/>
  </cols>
  <sheetData>
    <row r="1" ht="15">
      <c r="J1" s="3" t="s">
        <v>0</v>
      </c>
    </row>
    <row r="2" spans="1:10" ht="12.75" customHeight="1">
      <c r="A2" s="141" t="s">
        <v>1</v>
      </c>
      <c r="B2" s="141" t="s">
        <v>2</v>
      </c>
      <c r="C2" s="141" t="s">
        <v>3</v>
      </c>
      <c r="D2" s="144" t="s">
        <v>4</v>
      </c>
      <c r="E2" s="141" t="s">
        <v>5</v>
      </c>
      <c r="F2" s="144" t="s">
        <v>6</v>
      </c>
      <c r="G2" s="137" t="s">
        <v>7</v>
      </c>
      <c r="H2" s="138"/>
      <c r="I2" s="139"/>
      <c r="J2" s="140"/>
    </row>
    <row r="3" spans="1:10" ht="94.5" customHeight="1">
      <c r="A3" s="142"/>
      <c r="B3" s="143"/>
      <c r="C3" s="142"/>
      <c r="D3" s="144"/>
      <c r="E3" s="145"/>
      <c r="F3" s="144"/>
      <c r="G3" s="4" t="s">
        <v>8</v>
      </c>
      <c r="H3" s="5" t="s">
        <v>9</v>
      </c>
      <c r="I3" s="5" t="s">
        <v>223</v>
      </c>
      <c r="J3" s="5" t="s">
        <v>123</v>
      </c>
    </row>
    <row r="4" spans="1:10" ht="15.7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224</v>
      </c>
      <c r="G4" s="7">
        <v>6</v>
      </c>
      <c r="H4" s="7">
        <v>7</v>
      </c>
      <c r="I4" s="7">
        <v>8</v>
      </c>
      <c r="J4" s="7">
        <v>9</v>
      </c>
    </row>
    <row r="5" spans="1:10" ht="15.75" thickTop="1">
      <c r="A5" s="8"/>
      <c r="B5" s="8"/>
      <c r="C5" s="9" t="s">
        <v>10</v>
      </c>
      <c r="D5" s="10">
        <f aca="true" t="shared" si="0" ref="D5:J5">D6+D52+D55+D58+D67+D119+D162+D179+D64+D177</f>
        <v>40643902.561735496</v>
      </c>
      <c r="E5" s="10">
        <f t="shared" si="0"/>
        <v>70850</v>
      </c>
      <c r="F5" s="10">
        <f t="shared" si="0"/>
        <v>40714752.561735496</v>
      </c>
      <c r="G5" s="10">
        <f t="shared" si="0"/>
        <v>40674001</v>
      </c>
      <c r="H5" s="10">
        <f t="shared" si="0"/>
        <v>0</v>
      </c>
      <c r="I5" s="10">
        <f t="shared" si="0"/>
        <v>1850</v>
      </c>
      <c r="J5" s="10">
        <f t="shared" si="0"/>
        <v>38902</v>
      </c>
    </row>
    <row r="6" spans="1:10" ht="30">
      <c r="A6" s="11"/>
      <c r="B6" s="11"/>
      <c r="C6" s="12" t="s">
        <v>11</v>
      </c>
      <c r="D6" s="13">
        <f aca="true" t="shared" si="1" ref="D6:J6">D7+D25+D31+D34</f>
        <v>30838000.5617355</v>
      </c>
      <c r="E6" s="13">
        <f t="shared" si="1"/>
        <v>2000</v>
      </c>
      <c r="F6" s="13">
        <f t="shared" si="1"/>
        <v>30840000.5617355</v>
      </c>
      <c r="G6" s="13">
        <f t="shared" si="1"/>
        <v>30840001</v>
      </c>
      <c r="H6" s="13">
        <f t="shared" si="1"/>
        <v>0</v>
      </c>
      <c r="I6" s="13"/>
      <c r="J6" s="13">
        <f t="shared" si="1"/>
        <v>0</v>
      </c>
    </row>
    <row r="7" spans="1:10" ht="15">
      <c r="A7" s="14"/>
      <c r="B7" s="14"/>
      <c r="C7" s="15" t="s">
        <v>12</v>
      </c>
      <c r="D7" s="16">
        <f aca="true" t="shared" si="2" ref="D7:J7">SUM(D8:D13)+SUM(D17:D24)</f>
        <v>5758000</v>
      </c>
      <c r="E7" s="16">
        <f t="shared" si="2"/>
        <v>2000</v>
      </c>
      <c r="F7" s="16">
        <f t="shared" si="2"/>
        <v>5760000</v>
      </c>
      <c r="G7" s="16">
        <f t="shared" si="2"/>
        <v>5760000</v>
      </c>
      <c r="H7" s="16">
        <f t="shared" si="2"/>
        <v>0</v>
      </c>
      <c r="I7" s="16"/>
      <c r="J7" s="16">
        <f t="shared" si="2"/>
        <v>0</v>
      </c>
    </row>
    <row r="8" spans="1:10" s="22" customFormat="1" ht="15">
      <c r="A8" s="17">
        <v>1</v>
      </c>
      <c r="B8" s="18" t="s">
        <v>13</v>
      </c>
      <c r="C8" s="19" t="s">
        <v>14</v>
      </c>
      <c r="D8" s="20">
        <v>2130000</v>
      </c>
      <c r="E8" s="20"/>
      <c r="F8" s="20">
        <f>D8+E8</f>
        <v>2130000</v>
      </c>
      <c r="G8" s="20">
        <v>2130000</v>
      </c>
      <c r="H8" s="21"/>
      <c r="I8" s="21"/>
      <c r="J8" s="21"/>
    </row>
    <row r="9" spans="1:10" ht="15">
      <c r="A9" s="14">
        <v>2</v>
      </c>
      <c r="B9" s="23" t="s">
        <v>15</v>
      </c>
      <c r="C9" s="24" t="s">
        <v>16</v>
      </c>
      <c r="D9" s="20">
        <v>343000</v>
      </c>
      <c r="E9" s="20"/>
      <c r="F9" s="20">
        <f aca="true" t="shared" si="3" ref="F9:F33">D9+E9</f>
        <v>343000</v>
      </c>
      <c r="G9" s="25">
        <v>343000</v>
      </c>
      <c r="H9" s="26"/>
      <c r="I9" s="26"/>
      <c r="J9" s="26"/>
    </row>
    <row r="10" spans="1:10" ht="30">
      <c r="A10" s="17">
        <v>3</v>
      </c>
      <c r="B10" s="27" t="s">
        <v>13</v>
      </c>
      <c r="C10" s="28" t="s">
        <v>17</v>
      </c>
      <c r="D10" s="20">
        <v>34000</v>
      </c>
      <c r="E10" s="20"/>
      <c r="F10" s="20">
        <f t="shared" si="3"/>
        <v>34000</v>
      </c>
      <c r="G10" s="20">
        <v>34000</v>
      </c>
      <c r="H10" s="29"/>
      <c r="I10" s="29"/>
      <c r="J10" s="29"/>
    </row>
    <row r="11" spans="1:10" ht="285">
      <c r="A11" s="14">
        <v>4</v>
      </c>
      <c r="B11" s="30" t="s">
        <v>15</v>
      </c>
      <c r="C11" s="31" t="s">
        <v>228</v>
      </c>
      <c r="D11" s="20">
        <v>2000000</v>
      </c>
      <c r="E11" s="20"/>
      <c r="F11" s="20">
        <f t="shared" si="3"/>
        <v>2000000</v>
      </c>
      <c r="G11" s="25">
        <v>2000000</v>
      </c>
      <c r="H11" s="32"/>
      <c r="I11" s="32"/>
      <c r="J11" s="32"/>
    </row>
    <row r="12" spans="1:10" ht="30">
      <c r="A12" s="17">
        <v>5</v>
      </c>
      <c r="B12" s="30" t="s">
        <v>13</v>
      </c>
      <c r="C12" s="17" t="s">
        <v>18</v>
      </c>
      <c r="D12" s="20">
        <v>16000</v>
      </c>
      <c r="E12" s="20"/>
      <c r="F12" s="20">
        <f t="shared" si="3"/>
        <v>16000</v>
      </c>
      <c r="G12" s="25">
        <v>16000</v>
      </c>
      <c r="H12" s="32"/>
      <c r="I12" s="32"/>
      <c r="J12" s="32"/>
    </row>
    <row r="13" spans="1:10" ht="15">
      <c r="A13" s="14">
        <v>6</v>
      </c>
      <c r="B13" s="30" t="s">
        <v>15</v>
      </c>
      <c r="C13" s="17" t="s">
        <v>216</v>
      </c>
      <c r="D13" s="20">
        <v>100000</v>
      </c>
      <c r="E13" s="20"/>
      <c r="F13" s="20">
        <f t="shared" si="3"/>
        <v>100000</v>
      </c>
      <c r="G13" s="25">
        <v>100000</v>
      </c>
      <c r="H13" s="32"/>
      <c r="I13" s="32"/>
      <c r="J13" s="32"/>
    </row>
    <row r="14" spans="1:10" ht="15">
      <c r="A14" s="129" t="s">
        <v>210</v>
      </c>
      <c r="B14" s="30" t="s">
        <v>15</v>
      </c>
      <c r="C14" s="17" t="s">
        <v>213</v>
      </c>
      <c r="D14" s="20">
        <v>8700</v>
      </c>
      <c r="E14" s="20"/>
      <c r="F14" s="20">
        <v>8700</v>
      </c>
      <c r="G14" s="25">
        <v>8700</v>
      </c>
      <c r="H14" s="32"/>
      <c r="I14" s="32"/>
      <c r="J14" s="32"/>
    </row>
    <row r="15" spans="1:10" ht="15">
      <c r="A15" s="129" t="s">
        <v>211</v>
      </c>
      <c r="B15" s="30" t="s">
        <v>15</v>
      </c>
      <c r="C15" s="17" t="s">
        <v>214</v>
      </c>
      <c r="D15" s="20">
        <v>52600</v>
      </c>
      <c r="E15" s="20"/>
      <c r="F15" s="20">
        <v>52600</v>
      </c>
      <c r="G15" s="25">
        <v>52600</v>
      </c>
      <c r="H15" s="32"/>
      <c r="I15" s="32"/>
      <c r="J15" s="32"/>
    </row>
    <row r="16" spans="1:10" ht="15">
      <c r="A16" s="129" t="s">
        <v>212</v>
      </c>
      <c r="B16" s="30" t="s">
        <v>15</v>
      </c>
      <c r="C16" s="17" t="s">
        <v>215</v>
      </c>
      <c r="D16" s="20">
        <v>5700</v>
      </c>
      <c r="E16" s="20"/>
      <c r="F16" s="20">
        <v>5700</v>
      </c>
      <c r="G16" s="25">
        <v>5700</v>
      </c>
      <c r="H16" s="32"/>
      <c r="I16" s="32"/>
      <c r="J16" s="32"/>
    </row>
    <row r="17" spans="1:10" ht="15">
      <c r="A17" s="17">
        <v>7</v>
      </c>
      <c r="B17" s="30" t="s">
        <v>15</v>
      </c>
      <c r="C17" s="17" t="s">
        <v>19</v>
      </c>
      <c r="D17" s="20">
        <v>221000</v>
      </c>
      <c r="E17" s="20"/>
      <c r="F17" s="20">
        <f t="shared" si="3"/>
        <v>221000</v>
      </c>
      <c r="G17" s="25">
        <v>221000</v>
      </c>
      <c r="H17" s="32"/>
      <c r="I17" s="32"/>
      <c r="J17" s="32"/>
    </row>
    <row r="18" spans="1:10" ht="15">
      <c r="A18" s="14">
        <v>8</v>
      </c>
      <c r="B18" s="30" t="s">
        <v>15</v>
      </c>
      <c r="C18" s="17" t="s">
        <v>20</v>
      </c>
      <c r="D18" s="20">
        <v>0</v>
      </c>
      <c r="E18" s="20"/>
      <c r="F18" s="20">
        <f t="shared" si="3"/>
        <v>0</v>
      </c>
      <c r="G18" s="25">
        <f>284000-284000</f>
        <v>0</v>
      </c>
      <c r="H18" s="32"/>
      <c r="I18" s="32"/>
      <c r="J18" s="32"/>
    </row>
    <row r="19" spans="1:10" ht="15">
      <c r="A19" s="17">
        <v>9</v>
      </c>
      <c r="B19" s="30">
        <v>51</v>
      </c>
      <c r="C19" s="17" t="s">
        <v>21</v>
      </c>
      <c r="D19" s="20">
        <v>0</v>
      </c>
      <c r="E19" s="20"/>
      <c r="F19" s="20">
        <f>D19+E19</f>
        <v>0</v>
      </c>
      <c r="G19" s="33">
        <f>984000+1534000-100000-116000-284000-221000-80000-1717000</f>
        <v>0</v>
      </c>
      <c r="H19" s="32"/>
      <c r="I19" s="32"/>
      <c r="J19" s="32"/>
    </row>
    <row r="20" spans="1:10" ht="45">
      <c r="A20" s="14">
        <v>10</v>
      </c>
      <c r="B20" s="30">
        <v>51</v>
      </c>
      <c r="C20" s="17" t="s">
        <v>22</v>
      </c>
      <c r="D20" s="20">
        <v>370000</v>
      </c>
      <c r="E20" s="20"/>
      <c r="F20" s="20">
        <f t="shared" si="3"/>
        <v>370000</v>
      </c>
      <c r="G20" s="33">
        <f>818000-448000</f>
        <v>370000</v>
      </c>
      <c r="H20" s="32"/>
      <c r="I20" s="32"/>
      <c r="J20" s="32"/>
    </row>
    <row r="21" spans="1:10" ht="15">
      <c r="A21" s="17">
        <v>11</v>
      </c>
      <c r="B21" s="30" t="s">
        <v>15</v>
      </c>
      <c r="C21" s="17" t="s">
        <v>135</v>
      </c>
      <c r="D21" s="20">
        <v>260000</v>
      </c>
      <c r="E21" s="20"/>
      <c r="F21" s="20">
        <f t="shared" si="3"/>
        <v>260000</v>
      </c>
      <c r="G21" s="33">
        <v>260000</v>
      </c>
      <c r="H21" s="32"/>
      <c r="I21" s="32"/>
      <c r="J21" s="32"/>
    </row>
    <row r="22" spans="1:10" ht="15">
      <c r="A22" s="14">
        <v>12</v>
      </c>
      <c r="B22" s="30" t="s">
        <v>15</v>
      </c>
      <c r="C22" s="17" t="s">
        <v>136</v>
      </c>
      <c r="D22" s="20">
        <v>117000</v>
      </c>
      <c r="E22" s="20"/>
      <c r="F22" s="20">
        <f t="shared" si="3"/>
        <v>117000</v>
      </c>
      <c r="G22" s="33">
        <v>117000</v>
      </c>
      <c r="H22" s="32"/>
      <c r="I22" s="32"/>
      <c r="J22" s="32"/>
    </row>
    <row r="23" spans="1:10" ht="30">
      <c r="A23" s="17">
        <v>13</v>
      </c>
      <c r="B23" s="30" t="s">
        <v>15</v>
      </c>
      <c r="C23" s="17" t="s">
        <v>137</v>
      </c>
      <c r="D23" s="20">
        <v>167000</v>
      </c>
      <c r="E23" s="20"/>
      <c r="F23" s="20">
        <f t="shared" si="3"/>
        <v>167000</v>
      </c>
      <c r="G23" s="33">
        <v>167000</v>
      </c>
      <c r="H23" s="32"/>
      <c r="I23" s="32"/>
      <c r="J23" s="32"/>
    </row>
    <row r="24" spans="1:10" ht="60">
      <c r="A24" s="14">
        <v>14</v>
      </c>
      <c r="B24" s="30" t="s">
        <v>15</v>
      </c>
      <c r="C24" s="17" t="s">
        <v>220</v>
      </c>
      <c r="D24" s="20"/>
      <c r="E24" s="20">
        <v>2000</v>
      </c>
      <c r="F24" s="20">
        <f t="shared" si="3"/>
        <v>2000</v>
      </c>
      <c r="G24" s="33">
        <v>2000</v>
      </c>
      <c r="H24" s="32"/>
      <c r="I24" s="32"/>
      <c r="J24" s="32"/>
    </row>
    <row r="25" spans="1:10" ht="15">
      <c r="A25" s="34"/>
      <c r="B25" s="35"/>
      <c r="C25" s="36" t="s">
        <v>23</v>
      </c>
      <c r="D25" s="16">
        <f>SUM(D26:D30)</f>
        <v>973000</v>
      </c>
      <c r="E25" s="16">
        <f>SUM(E26:E30)</f>
        <v>0</v>
      </c>
      <c r="F25" s="16">
        <f>SUM(F26:F30)</f>
        <v>973000</v>
      </c>
      <c r="G25" s="16">
        <f>SUM(G26:G30)</f>
        <v>973000</v>
      </c>
      <c r="H25" s="16">
        <f>SUM(H26:H29)</f>
        <v>0</v>
      </c>
      <c r="I25" s="16"/>
      <c r="J25" s="16">
        <f>SUM(J26:J29)</f>
        <v>0</v>
      </c>
    </row>
    <row r="26" spans="1:10" ht="60">
      <c r="A26" s="37">
        <v>1</v>
      </c>
      <c r="B26" s="38" t="s">
        <v>24</v>
      </c>
      <c r="C26" s="39" t="s">
        <v>25</v>
      </c>
      <c r="D26" s="40">
        <v>80000</v>
      </c>
      <c r="E26" s="40"/>
      <c r="F26" s="20">
        <f t="shared" si="3"/>
        <v>80000</v>
      </c>
      <c r="G26" s="40">
        <f>80000</f>
        <v>80000</v>
      </c>
      <c r="H26" s="29"/>
      <c r="I26" s="29"/>
      <c r="J26" s="29"/>
    </row>
    <row r="27" spans="1:10" ht="60">
      <c r="A27" s="37">
        <v>2</v>
      </c>
      <c r="B27" s="38" t="s">
        <v>24</v>
      </c>
      <c r="C27" s="39" t="s">
        <v>26</v>
      </c>
      <c r="D27" s="40">
        <v>15000</v>
      </c>
      <c r="E27" s="40"/>
      <c r="F27" s="20">
        <f t="shared" si="3"/>
        <v>15000</v>
      </c>
      <c r="G27" s="40">
        <v>15000</v>
      </c>
      <c r="H27" s="29"/>
      <c r="I27" s="29"/>
      <c r="J27" s="29"/>
    </row>
    <row r="28" spans="1:10" ht="75">
      <c r="A28" s="37">
        <v>3</v>
      </c>
      <c r="B28" s="38" t="s">
        <v>27</v>
      </c>
      <c r="C28" s="39" t="s">
        <v>28</v>
      </c>
      <c r="D28" s="40">
        <v>767000</v>
      </c>
      <c r="E28" s="40"/>
      <c r="F28" s="20">
        <f t="shared" si="3"/>
        <v>767000</v>
      </c>
      <c r="G28" s="40">
        <f>1442000-675000</f>
        <v>767000</v>
      </c>
      <c r="H28" s="29"/>
      <c r="I28" s="29"/>
      <c r="J28" s="29"/>
    </row>
    <row r="29" spans="1:10" ht="45">
      <c r="A29" s="37">
        <v>4</v>
      </c>
      <c r="B29" s="38" t="s">
        <v>24</v>
      </c>
      <c r="C29" s="41" t="s">
        <v>29</v>
      </c>
      <c r="D29" s="40">
        <v>36000</v>
      </c>
      <c r="E29" s="40"/>
      <c r="F29" s="20">
        <f t="shared" si="3"/>
        <v>36000</v>
      </c>
      <c r="G29" s="42">
        <v>36000</v>
      </c>
      <c r="H29" s="29"/>
      <c r="I29" s="29"/>
      <c r="J29" s="29"/>
    </row>
    <row r="30" spans="1:10" ht="60">
      <c r="A30" s="37">
        <v>5</v>
      </c>
      <c r="B30" s="38" t="s">
        <v>24</v>
      </c>
      <c r="C30" s="41" t="s">
        <v>30</v>
      </c>
      <c r="D30" s="40">
        <v>75000</v>
      </c>
      <c r="E30" s="40"/>
      <c r="F30" s="20">
        <f t="shared" si="3"/>
        <v>75000</v>
      </c>
      <c r="G30" s="42">
        <v>75000</v>
      </c>
      <c r="H30" s="29"/>
      <c r="I30" s="29"/>
      <c r="J30" s="29"/>
    </row>
    <row r="31" spans="1:10" s="47" customFormat="1" ht="15">
      <c r="A31" s="43"/>
      <c r="B31" s="44"/>
      <c r="C31" s="45" t="s">
        <v>31</v>
      </c>
      <c r="D31" s="46">
        <f aca="true" t="shared" si="4" ref="D31:J31">SUM(D32:D33)</f>
        <v>160000</v>
      </c>
      <c r="E31" s="46">
        <f t="shared" si="4"/>
        <v>0</v>
      </c>
      <c r="F31" s="46">
        <f t="shared" si="4"/>
        <v>160000</v>
      </c>
      <c r="G31" s="46">
        <f t="shared" si="4"/>
        <v>160000</v>
      </c>
      <c r="H31" s="46">
        <f t="shared" si="4"/>
        <v>0</v>
      </c>
      <c r="I31" s="46"/>
      <c r="J31" s="46">
        <f t="shared" si="4"/>
        <v>0</v>
      </c>
    </row>
    <row r="32" spans="1:10" ht="60">
      <c r="A32" s="37">
        <v>1</v>
      </c>
      <c r="B32" s="48" t="s">
        <v>32</v>
      </c>
      <c r="C32" s="41" t="s">
        <v>33</v>
      </c>
      <c r="D32" s="40">
        <v>144000</v>
      </c>
      <c r="E32" s="40"/>
      <c r="F32" s="20">
        <f t="shared" si="3"/>
        <v>144000</v>
      </c>
      <c r="G32" s="42">
        <v>144000</v>
      </c>
      <c r="H32" s="29"/>
      <c r="I32" s="29"/>
      <c r="J32" s="29"/>
    </row>
    <row r="33" spans="1:10" ht="90">
      <c r="A33" s="37">
        <v>2</v>
      </c>
      <c r="B33" s="48" t="s">
        <v>32</v>
      </c>
      <c r="C33" s="49" t="s">
        <v>34</v>
      </c>
      <c r="D33" s="40">
        <v>16000</v>
      </c>
      <c r="E33" s="40"/>
      <c r="F33" s="20">
        <f t="shared" si="3"/>
        <v>16000</v>
      </c>
      <c r="G33" s="42">
        <v>16000</v>
      </c>
      <c r="H33" s="29"/>
      <c r="I33" s="29"/>
      <c r="J33" s="29"/>
    </row>
    <row r="34" spans="1:10" ht="15">
      <c r="A34" s="50"/>
      <c r="B34" s="35"/>
      <c r="C34" s="36" t="s">
        <v>35</v>
      </c>
      <c r="D34" s="16">
        <f>D35+D47</f>
        <v>23947000.5617355</v>
      </c>
      <c r="E34" s="16">
        <f>E35+E47</f>
        <v>0</v>
      </c>
      <c r="F34" s="16">
        <f>F35+F47</f>
        <v>23947000.5617355</v>
      </c>
      <c r="G34" s="16">
        <f>G35+G47</f>
        <v>23947001</v>
      </c>
      <c r="H34" s="16">
        <f>H35+H47</f>
        <v>0</v>
      </c>
      <c r="I34" s="16"/>
      <c r="J34" s="16"/>
    </row>
    <row r="35" spans="1:10" ht="15">
      <c r="A35" s="50"/>
      <c r="B35" s="35"/>
      <c r="C35" s="51" t="s">
        <v>36</v>
      </c>
      <c r="D35" s="52">
        <f>D36+D39+D46</f>
        <v>23028000.5617355</v>
      </c>
      <c r="E35" s="52">
        <f>E36+E39+E46</f>
        <v>0</v>
      </c>
      <c r="F35" s="52">
        <f>F36+F39+F46</f>
        <v>23028000.5617355</v>
      </c>
      <c r="G35" s="52">
        <f>G36+G39+G46</f>
        <v>23028001</v>
      </c>
      <c r="H35" s="52">
        <f>H36+H39</f>
        <v>0</v>
      </c>
      <c r="I35" s="52"/>
      <c r="J35" s="52"/>
    </row>
    <row r="36" spans="1:10" s="22" customFormat="1" ht="30">
      <c r="A36" s="37">
        <v>1</v>
      </c>
      <c r="B36" s="53">
        <v>84</v>
      </c>
      <c r="C36" s="54" t="s">
        <v>166</v>
      </c>
      <c r="D36" s="55">
        <v>19756000.5617355</v>
      </c>
      <c r="E36" s="55"/>
      <c r="F36" s="20">
        <f>D36+E36</f>
        <v>19756000.5617355</v>
      </c>
      <c r="G36" s="55">
        <f>16939001+2817000</f>
        <v>19756001</v>
      </c>
      <c r="H36" s="55"/>
      <c r="I36" s="55"/>
      <c r="J36" s="55"/>
    </row>
    <row r="37" spans="1:10" s="22" customFormat="1" ht="30">
      <c r="A37" s="127" t="s">
        <v>167</v>
      </c>
      <c r="B37" s="53" t="s">
        <v>37</v>
      </c>
      <c r="C37" s="54" t="s">
        <v>170</v>
      </c>
      <c r="D37" s="55">
        <v>4472500</v>
      </c>
      <c r="E37" s="55"/>
      <c r="F37" s="20">
        <f>D37+E37</f>
        <v>4472500</v>
      </c>
      <c r="G37" s="55">
        <f>1655500+2817000</f>
        <v>4472500</v>
      </c>
      <c r="H37" s="55"/>
      <c r="I37" s="55"/>
      <c r="J37" s="55"/>
    </row>
    <row r="38" spans="1:10" s="22" customFormat="1" ht="60">
      <c r="A38" s="127" t="s">
        <v>168</v>
      </c>
      <c r="B38" s="53" t="s">
        <v>37</v>
      </c>
      <c r="C38" s="54" t="s">
        <v>169</v>
      </c>
      <c r="D38" s="55">
        <v>2816500</v>
      </c>
      <c r="E38" s="55"/>
      <c r="F38" s="20">
        <f>D38+E38</f>
        <v>2816500</v>
      </c>
      <c r="G38" s="55">
        <v>2816500</v>
      </c>
      <c r="H38" s="55"/>
      <c r="I38" s="55"/>
      <c r="J38" s="55"/>
    </row>
    <row r="39" spans="1:10" s="22" customFormat="1" ht="30">
      <c r="A39" s="37">
        <v>2</v>
      </c>
      <c r="B39" s="53" t="s">
        <v>37</v>
      </c>
      <c r="C39" s="54" t="s">
        <v>160</v>
      </c>
      <c r="D39" s="55">
        <v>3232000</v>
      </c>
      <c r="E39" s="55"/>
      <c r="F39" s="20">
        <f>D39+E39</f>
        <v>3232000</v>
      </c>
      <c r="G39" s="55">
        <f>1900000+1332000</f>
        <v>3232000</v>
      </c>
      <c r="H39" s="55"/>
      <c r="I39" s="55"/>
      <c r="J39" s="55"/>
    </row>
    <row r="40" spans="1:10" s="22" customFormat="1" ht="30">
      <c r="A40" s="127" t="s">
        <v>154</v>
      </c>
      <c r="B40" s="53" t="s">
        <v>37</v>
      </c>
      <c r="C40" s="54" t="s">
        <v>165</v>
      </c>
      <c r="D40" s="55">
        <v>1434969</v>
      </c>
      <c r="E40" s="55"/>
      <c r="F40" s="20">
        <f aca="true" t="shared" si="5" ref="F40:F45">D40+E40</f>
        <v>1434969</v>
      </c>
      <c r="G40" s="55">
        <v>1434969</v>
      </c>
      <c r="H40" s="55"/>
      <c r="I40" s="55"/>
      <c r="J40" s="55"/>
    </row>
    <row r="41" spans="1:10" s="22" customFormat="1" ht="15">
      <c r="A41" s="127" t="s">
        <v>155</v>
      </c>
      <c r="B41" s="53" t="s">
        <v>37</v>
      </c>
      <c r="C41" s="54" t="s">
        <v>161</v>
      </c>
      <c r="D41" s="55">
        <v>1038914</v>
      </c>
      <c r="E41" s="55"/>
      <c r="F41" s="20">
        <f t="shared" si="5"/>
        <v>1038914</v>
      </c>
      <c r="G41" s="55">
        <v>1038914</v>
      </c>
      <c r="H41" s="55"/>
      <c r="I41" s="55"/>
      <c r="J41" s="55"/>
    </row>
    <row r="42" spans="1:10" s="22" customFormat="1" ht="15">
      <c r="A42" s="127" t="s">
        <v>156</v>
      </c>
      <c r="B42" s="53" t="s">
        <v>37</v>
      </c>
      <c r="C42" s="54" t="s">
        <v>162</v>
      </c>
      <c r="D42" s="55">
        <v>525538</v>
      </c>
      <c r="E42" s="55"/>
      <c r="F42" s="20">
        <f t="shared" si="5"/>
        <v>525538</v>
      </c>
      <c r="G42" s="55">
        <v>525538</v>
      </c>
      <c r="H42" s="55"/>
      <c r="I42" s="55"/>
      <c r="J42" s="55"/>
    </row>
    <row r="43" spans="1:10" s="22" customFormat="1" ht="15">
      <c r="A43" s="127" t="s">
        <v>157</v>
      </c>
      <c r="B43" s="53" t="s">
        <v>37</v>
      </c>
      <c r="C43" s="54" t="s">
        <v>153</v>
      </c>
      <c r="D43" s="55">
        <v>156240</v>
      </c>
      <c r="E43" s="55"/>
      <c r="F43" s="20">
        <f t="shared" si="5"/>
        <v>156240</v>
      </c>
      <c r="G43" s="55">
        <v>156240</v>
      </c>
      <c r="H43" s="55"/>
      <c r="I43" s="55"/>
      <c r="J43" s="55"/>
    </row>
    <row r="44" spans="1:10" s="22" customFormat="1" ht="15">
      <c r="A44" s="127" t="s">
        <v>158</v>
      </c>
      <c r="B44" s="53" t="s">
        <v>37</v>
      </c>
      <c r="C44" s="54" t="s">
        <v>163</v>
      </c>
      <c r="D44" s="55">
        <v>70686</v>
      </c>
      <c r="E44" s="55"/>
      <c r="F44" s="20">
        <f t="shared" si="5"/>
        <v>70686</v>
      </c>
      <c r="G44" s="55">
        <v>70686</v>
      </c>
      <c r="H44" s="55"/>
      <c r="I44" s="55"/>
      <c r="J44" s="55"/>
    </row>
    <row r="45" spans="1:10" s="22" customFormat="1" ht="15">
      <c r="A45" s="127" t="s">
        <v>159</v>
      </c>
      <c r="B45" s="53" t="s">
        <v>37</v>
      </c>
      <c r="C45" s="54" t="s">
        <v>164</v>
      </c>
      <c r="D45" s="55">
        <v>5653</v>
      </c>
      <c r="E45" s="55"/>
      <c r="F45" s="20">
        <f t="shared" si="5"/>
        <v>5653</v>
      </c>
      <c r="G45" s="55">
        <v>5653</v>
      </c>
      <c r="H45" s="55"/>
      <c r="I45" s="55"/>
      <c r="J45" s="55"/>
    </row>
    <row r="46" spans="1:10" s="22" customFormat="1" ht="30">
      <c r="A46" s="37">
        <v>3</v>
      </c>
      <c r="B46" s="53" t="s">
        <v>37</v>
      </c>
      <c r="C46" s="80" t="s">
        <v>117</v>
      </c>
      <c r="D46" s="55">
        <v>40000</v>
      </c>
      <c r="E46" s="55"/>
      <c r="F46" s="20">
        <f>D46+E46</f>
        <v>40000</v>
      </c>
      <c r="G46" s="55">
        <v>40000</v>
      </c>
      <c r="H46" s="55"/>
      <c r="I46" s="55"/>
      <c r="J46" s="55"/>
    </row>
    <row r="47" spans="1:10" ht="15">
      <c r="A47" s="50"/>
      <c r="B47" s="35"/>
      <c r="C47" s="51" t="s">
        <v>38</v>
      </c>
      <c r="D47" s="16">
        <f aca="true" t="shared" si="6" ref="D47:J47">SUM(D48:D51)</f>
        <v>919000</v>
      </c>
      <c r="E47" s="16">
        <f t="shared" si="6"/>
        <v>0</v>
      </c>
      <c r="F47" s="16">
        <f t="shared" si="6"/>
        <v>919000</v>
      </c>
      <c r="G47" s="16">
        <f t="shared" si="6"/>
        <v>919000</v>
      </c>
      <c r="H47" s="16">
        <f t="shared" si="6"/>
        <v>0</v>
      </c>
      <c r="I47" s="16"/>
      <c r="J47" s="16">
        <f t="shared" si="6"/>
        <v>0</v>
      </c>
    </row>
    <row r="48" spans="1:10" ht="30">
      <c r="A48" s="50">
        <v>1</v>
      </c>
      <c r="B48" s="56" t="s">
        <v>37</v>
      </c>
      <c r="C48" s="28" t="s">
        <v>208</v>
      </c>
      <c r="D48" s="55">
        <v>145000</v>
      </c>
      <c r="E48" s="55">
        <v>20000</v>
      </c>
      <c r="F48" s="20">
        <f>D48+E48</f>
        <v>165000</v>
      </c>
      <c r="G48" s="57">
        <f>145000+20000</f>
        <v>165000</v>
      </c>
      <c r="H48" s="32"/>
      <c r="I48" s="32"/>
      <c r="J48" s="32"/>
    </row>
    <row r="49" spans="1:10" ht="30">
      <c r="A49" s="50">
        <v>2</v>
      </c>
      <c r="B49" s="56" t="s">
        <v>39</v>
      </c>
      <c r="C49" s="28" t="s">
        <v>40</v>
      </c>
      <c r="D49" s="55">
        <v>661000</v>
      </c>
      <c r="E49" s="55">
        <v>-20000</v>
      </c>
      <c r="F49" s="20">
        <f>D49+E49</f>
        <v>641000</v>
      </c>
      <c r="G49" s="25">
        <f>3000000-2245000-94000-20000</f>
        <v>641000</v>
      </c>
      <c r="H49" s="32"/>
      <c r="I49" s="32"/>
      <c r="J49" s="32"/>
    </row>
    <row r="50" spans="1:10" ht="30">
      <c r="A50" s="50">
        <v>3</v>
      </c>
      <c r="B50" s="56" t="s">
        <v>37</v>
      </c>
      <c r="C50" s="80" t="s">
        <v>116</v>
      </c>
      <c r="D50" s="55">
        <v>19000</v>
      </c>
      <c r="E50" s="55"/>
      <c r="F50" s="20">
        <f>D50+E50</f>
        <v>19000</v>
      </c>
      <c r="G50" s="25">
        <v>19000</v>
      </c>
      <c r="H50" s="32"/>
      <c r="I50" s="32"/>
      <c r="J50" s="32"/>
    </row>
    <row r="51" spans="1:10" ht="30">
      <c r="A51" s="50">
        <v>4</v>
      </c>
      <c r="B51" s="56" t="s">
        <v>37</v>
      </c>
      <c r="C51" s="128" t="s">
        <v>173</v>
      </c>
      <c r="D51" s="55">
        <v>94000</v>
      </c>
      <c r="E51" s="55"/>
      <c r="F51" s="20">
        <f>D51+E51</f>
        <v>94000</v>
      </c>
      <c r="G51" s="25">
        <v>94000</v>
      </c>
      <c r="H51" s="32"/>
      <c r="I51" s="32"/>
      <c r="J51" s="32"/>
    </row>
    <row r="52" spans="1:10" ht="30">
      <c r="A52" s="58"/>
      <c r="B52" s="59" t="s">
        <v>41</v>
      </c>
      <c r="C52" s="60" t="s">
        <v>42</v>
      </c>
      <c r="D52" s="61">
        <f aca="true" t="shared" si="7" ref="D52:J52">SUM(D53:D54)</f>
        <v>75000</v>
      </c>
      <c r="E52" s="61">
        <f t="shared" si="7"/>
        <v>6000</v>
      </c>
      <c r="F52" s="61">
        <f t="shared" si="7"/>
        <v>81000</v>
      </c>
      <c r="G52" s="61">
        <f t="shared" si="7"/>
        <v>81000</v>
      </c>
      <c r="H52" s="61">
        <f t="shared" si="7"/>
        <v>0</v>
      </c>
      <c r="I52" s="61"/>
      <c r="J52" s="61">
        <f t="shared" si="7"/>
        <v>0</v>
      </c>
    </row>
    <row r="53" spans="1:10" ht="15">
      <c r="A53" s="50">
        <v>1</v>
      </c>
      <c r="B53" s="62" t="s">
        <v>43</v>
      </c>
      <c r="C53" s="63" t="s">
        <v>44</v>
      </c>
      <c r="D53" s="33">
        <v>75000</v>
      </c>
      <c r="E53" s="33">
        <v>-75000</v>
      </c>
      <c r="F53" s="20">
        <f>D53+E53</f>
        <v>0</v>
      </c>
      <c r="G53" s="33">
        <f>75000-75000</f>
        <v>0</v>
      </c>
      <c r="H53" s="33"/>
      <c r="I53" s="33"/>
      <c r="J53" s="33"/>
    </row>
    <row r="54" spans="1:10" ht="15">
      <c r="A54" s="50">
        <v>2</v>
      </c>
      <c r="B54" s="62" t="s">
        <v>43</v>
      </c>
      <c r="C54" s="63" t="s">
        <v>153</v>
      </c>
      <c r="D54" s="33"/>
      <c r="E54" s="33">
        <v>81000</v>
      </c>
      <c r="F54" s="20">
        <f>D54+E54</f>
        <v>81000</v>
      </c>
      <c r="G54" s="33">
        <v>81000</v>
      </c>
      <c r="H54" s="33"/>
      <c r="I54" s="33"/>
      <c r="J54" s="33"/>
    </row>
    <row r="55" spans="1:10" ht="30">
      <c r="A55" s="58"/>
      <c r="B55" s="64">
        <v>54</v>
      </c>
      <c r="C55" s="65" t="s">
        <v>45</v>
      </c>
      <c r="D55" s="61">
        <f>D56+D57</f>
        <v>17000</v>
      </c>
      <c r="E55" s="61">
        <f>E56+E57</f>
        <v>5000</v>
      </c>
      <c r="F55" s="61">
        <f>F56+F57</f>
        <v>22000</v>
      </c>
      <c r="G55" s="61">
        <f>G56+G57</f>
        <v>22000</v>
      </c>
      <c r="H55" s="61">
        <f>H56</f>
        <v>0</v>
      </c>
      <c r="I55" s="61"/>
      <c r="J55" s="61">
        <f>J56</f>
        <v>0</v>
      </c>
    </row>
    <row r="56" spans="1:10" ht="15">
      <c r="A56" s="66" t="s">
        <v>46</v>
      </c>
      <c r="B56" s="67" t="s">
        <v>43</v>
      </c>
      <c r="C56" s="14" t="s">
        <v>47</v>
      </c>
      <c r="D56" s="33">
        <v>10000</v>
      </c>
      <c r="E56" s="33"/>
      <c r="F56" s="20">
        <f>D56+E56</f>
        <v>10000</v>
      </c>
      <c r="G56" s="33">
        <v>10000</v>
      </c>
      <c r="H56" s="33"/>
      <c r="I56" s="33"/>
      <c r="J56" s="33"/>
    </row>
    <row r="57" spans="1:10" ht="15">
      <c r="A57" s="66" t="s">
        <v>97</v>
      </c>
      <c r="B57" s="67" t="s">
        <v>43</v>
      </c>
      <c r="C57" s="14" t="s">
        <v>118</v>
      </c>
      <c r="D57" s="33">
        <v>7000</v>
      </c>
      <c r="E57" s="33">
        <v>5000</v>
      </c>
      <c r="F57" s="20">
        <f>D57+E57</f>
        <v>12000</v>
      </c>
      <c r="G57" s="33">
        <f>7000+5000</f>
        <v>12000</v>
      </c>
      <c r="H57" s="33"/>
      <c r="I57" s="33"/>
      <c r="J57" s="33"/>
    </row>
    <row r="58" spans="1:10" ht="15">
      <c r="A58" s="68"/>
      <c r="B58" s="69" t="s">
        <v>41</v>
      </c>
      <c r="C58" s="12" t="s">
        <v>48</v>
      </c>
      <c r="D58" s="61">
        <f aca="true" t="shared" si="8" ref="D58:J58">SUM(D59:D63)</f>
        <v>104000</v>
      </c>
      <c r="E58" s="61">
        <f t="shared" si="8"/>
        <v>17000</v>
      </c>
      <c r="F58" s="61">
        <f t="shared" si="8"/>
        <v>121000</v>
      </c>
      <c r="G58" s="61">
        <f t="shared" si="8"/>
        <v>121000</v>
      </c>
      <c r="H58" s="61">
        <f t="shared" si="8"/>
        <v>0</v>
      </c>
      <c r="I58" s="61"/>
      <c r="J58" s="61">
        <f t="shared" si="8"/>
        <v>0</v>
      </c>
    </row>
    <row r="59" spans="1:10" s="70" customFormat="1" ht="15">
      <c r="A59" s="50">
        <v>1</v>
      </c>
      <c r="B59" s="62" t="s">
        <v>43</v>
      </c>
      <c r="C59" s="14" t="s">
        <v>49</v>
      </c>
      <c r="D59" s="33">
        <v>41000</v>
      </c>
      <c r="E59" s="33"/>
      <c r="F59" s="20">
        <f>D59+E59</f>
        <v>41000</v>
      </c>
      <c r="G59" s="33">
        <v>41000</v>
      </c>
      <c r="H59" s="33"/>
      <c r="I59" s="33"/>
      <c r="J59" s="33"/>
    </row>
    <row r="60" spans="1:10" s="70" customFormat="1" ht="15">
      <c r="A60" s="50">
        <v>2</v>
      </c>
      <c r="B60" s="62" t="s">
        <v>43</v>
      </c>
      <c r="C60" s="14" t="s">
        <v>50</v>
      </c>
      <c r="D60" s="33">
        <v>34000</v>
      </c>
      <c r="E60" s="33"/>
      <c r="F60" s="20">
        <f>D60+E60</f>
        <v>34000</v>
      </c>
      <c r="G60" s="33">
        <v>34000</v>
      </c>
      <c r="H60" s="33"/>
      <c r="I60" s="33"/>
      <c r="J60" s="33"/>
    </row>
    <row r="61" spans="1:10" s="70" customFormat="1" ht="15">
      <c r="A61" s="50">
        <v>3</v>
      </c>
      <c r="B61" s="62" t="s">
        <v>43</v>
      </c>
      <c r="C61" s="14" t="s">
        <v>51</v>
      </c>
      <c r="D61" s="33">
        <v>12000</v>
      </c>
      <c r="E61" s="33"/>
      <c r="F61" s="20">
        <f>D61+E61</f>
        <v>12000</v>
      </c>
      <c r="G61" s="33">
        <v>12000</v>
      </c>
      <c r="H61" s="33"/>
      <c r="I61" s="33"/>
      <c r="J61" s="33"/>
    </row>
    <row r="62" spans="1:10" s="70" customFormat="1" ht="15">
      <c r="A62" s="50">
        <v>4</v>
      </c>
      <c r="B62" s="62" t="s">
        <v>43</v>
      </c>
      <c r="C62" s="14" t="s">
        <v>52</v>
      </c>
      <c r="D62" s="33">
        <v>17000</v>
      </c>
      <c r="E62" s="33"/>
      <c r="F62" s="20">
        <f>D62+E62</f>
        <v>17000</v>
      </c>
      <c r="G62" s="33">
        <v>17000</v>
      </c>
      <c r="H62" s="33"/>
      <c r="I62" s="33"/>
      <c r="J62" s="33"/>
    </row>
    <row r="63" spans="1:10" s="70" customFormat="1" ht="15">
      <c r="A63" s="50">
        <v>5</v>
      </c>
      <c r="B63" s="62" t="s">
        <v>43</v>
      </c>
      <c r="C63" s="14" t="s">
        <v>221</v>
      </c>
      <c r="D63" s="33"/>
      <c r="E63" s="33">
        <v>17000</v>
      </c>
      <c r="F63" s="20">
        <f>D63+E63</f>
        <v>17000</v>
      </c>
      <c r="G63" s="33">
        <v>17000</v>
      </c>
      <c r="H63" s="33"/>
      <c r="I63" s="33"/>
      <c r="J63" s="33"/>
    </row>
    <row r="64" spans="1:10" s="70" customFormat="1" ht="30">
      <c r="A64" s="120"/>
      <c r="B64" s="123">
        <v>65</v>
      </c>
      <c r="C64" s="121" t="s">
        <v>119</v>
      </c>
      <c r="D64" s="122">
        <f aca="true" t="shared" si="9" ref="D64:J64">SUM(D65:D66)</f>
        <v>283000</v>
      </c>
      <c r="E64" s="122">
        <f t="shared" si="9"/>
        <v>38000</v>
      </c>
      <c r="F64" s="122">
        <f t="shared" si="9"/>
        <v>321000</v>
      </c>
      <c r="G64" s="122">
        <f t="shared" si="9"/>
        <v>321000</v>
      </c>
      <c r="H64" s="122">
        <f t="shared" si="9"/>
        <v>0</v>
      </c>
      <c r="I64" s="122"/>
      <c r="J64" s="122">
        <f t="shared" si="9"/>
        <v>0</v>
      </c>
    </row>
    <row r="65" spans="1:10" s="70" customFormat="1" ht="30">
      <c r="A65" s="50">
        <v>1</v>
      </c>
      <c r="B65" s="62" t="s">
        <v>120</v>
      </c>
      <c r="C65" s="80" t="s">
        <v>121</v>
      </c>
      <c r="D65" s="33">
        <v>164000</v>
      </c>
      <c r="E65" s="33"/>
      <c r="F65" s="20">
        <f>E65+D65</f>
        <v>164000</v>
      </c>
      <c r="G65" s="33">
        <v>164000</v>
      </c>
      <c r="H65" s="33"/>
      <c r="I65" s="33"/>
      <c r="J65" s="33"/>
    </row>
    <row r="66" spans="1:10" s="70" customFormat="1" ht="15">
      <c r="A66" s="50">
        <v>2</v>
      </c>
      <c r="B66" s="62" t="s">
        <v>174</v>
      </c>
      <c r="C66" s="80" t="s">
        <v>175</v>
      </c>
      <c r="D66" s="33">
        <v>119000</v>
      </c>
      <c r="E66" s="33">
        <v>38000</v>
      </c>
      <c r="F66" s="20">
        <f>E66+D66</f>
        <v>157000</v>
      </c>
      <c r="G66" s="33">
        <f>119000+38000</f>
        <v>157000</v>
      </c>
      <c r="H66" s="33"/>
      <c r="I66" s="33"/>
      <c r="J66" s="33"/>
    </row>
    <row r="67" spans="1:10" ht="15">
      <c r="A67" s="71"/>
      <c r="B67" s="72"/>
      <c r="C67" s="73" t="s">
        <v>53</v>
      </c>
      <c r="D67" s="61">
        <f aca="true" t="shared" si="10" ref="D67:J67">D68+D111</f>
        <v>4206902</v>
      </c>
      <c r="E67" s="61">
        <f t="shared" si="10"/>
        <v>1000</v>
      </c>
      <c r="F67" s="61">
        <f t="shared" si="10"/>
        <v>4207902</v>
      </c>
      <c r="G67" s="61">
        <f t="shared" si="10"/>
        <v>4169000</v>
      </c>
      <c r="H67" s="61">
        <f t="shared" si="10"/>
        <v>0</v>
      </c>
      <c r="I67" s="61"/>
      <c r="J67" s="61">
        <f t="shared" si="10"/>
        <v>38902</v>
      </c>
    </row>
    <row r="68" spans="1:10" ht="30">
      <c r="A68" s="74"/>
      <c r="B68" s="75">
        <v>66</v>
      </c>
      <c r="C68" s="76" t="s">
        <v>54</v>
      </c>
      <c r="D68" s="77">
        <f aca="true" t="shared" si="11" ref="D68:J68">SUM(D69:D110)</f>
        <v>3308902</v>
      </c>
      <c r="E68" s="77">
        <f>SUM(E69:E110)</f>
        <v>1000</v>
      </c>
      <c r="F68" s="77">
        <f t="shared" si="11"/>
        <v>3309902</v>
      </c>
      <c r="G68" s="77">
        <f t="shared" si="11"/>
        <v>3301000</v>
      </c>
      <c r="H68" s="77">
        <f t="shared" si="11"/>
        <v>0</v>
      </c>
      <c r="I68" s="77"/>
      <c r="J68" s="77">
        <f t="shared" si="11"/>
        <v>8902</v>
      </c>
    </row>
    <row r="69" spans="1:10" s="22" customFormat="1" ht="15">
      <c r="A69" s="78">
        <v>1</v>
      </c>
      <c r="B69" s="79" t="s">
        <v>24</v>
      </c>
      <c r="C69" s="80" t="s">
        <v>55</v>
      </c>
      <c r="D69" s="81">
        <v>0</v>
      </c>
      <c r="E69" s="81"/>
      <c r="F69" s="20">
        <f aca="true" t="shared" si="12" ref="F69:F110">D69+E69</f>
        <v>0</v>
      </c>
      <c r="G69" s="82">
        <f>175000-175000</f>
        <v>0</v>
      </c>
      <c r="H69" s="26">
        <f>3500000-3500000</f>
        <v>0</v>
      </c>
      <c r="I69" s="26"/>
      <c r="J69" s="26">
        <f>3500000-3500000</f>
        <v>0</v>
      </c>
    </row>
    <row r="70" spans="1:10" ht="15">
      <c r="A70" s="78">
        <v>2</v>
      </c>
      <c r="B70" s="79" t="s">
        <v>24</v>
      </c>
      <c r="C70" s="83" t="s">
        <v>56</v>
      </c>
      <c r="D70" s="81">
        <v>61650</v>
      </c>
      <c r="E70" s="81"/>
      <c r="F70" s="20">
        <f t="shared" si="12"/>
        <v>61650</v>
      </c>
      <c r="G70" s="82">
        <v>61650</v>
      </c>
      <c r="H70" s="26"/>
      <c r="I70" s="26"/>
      <c r="J70" s="26"/>
    </row>
    <row r="71" spans="1:10" s="70" customFormat="1" ht="15">
      <c r="A71" s="78">
        <v>3</v>
      </c>
      <c r="B71" s="79" t="s">
        <v>24</v>
      </c>
      <c r="C71" s="83" t="s">
        <v>57</v>
      </c>
      <c r="D71" s="81">
        <v>41000</v>
      </c>
      <c r="E71" s="81"/>
      <c r="F71" s="20">
        <f t="shared" si="12"/>
        <v>41000</v>
      </c>
      <c r="G71" s="82">
        <v>41000</v>
      </c>
      <c r="H71" s="26"/>
      <c r="I71" s="26"/>
      <c r="J71" s="26"/>
    </row>
    <row r="72" spans="1:10" s="70" customFormat="1" ht="15">
      <c r="A72" s="78">
        <v>4</v>
      </c>
      <c r="B72" s="79" t="s">
        <v>24</v>
      </c>
      <c r="C72" s="83" t="s">
        <v>58</v>
      </c>
      <c r="D72" s="81">
        <v>60750</v>
      </c>
      <c r="E72" s="81"/>
      <c r="F72" s="20">
        <f t="shared" si="12"/>
        <v>60750</v>
      </c>
      <c r="G72" s="84">
        <v>60750</v>
      </c>
      <c r="H72" s="26"/>
      <c r="I72" s="26"/>
      <c r="J72" s="26"/>
    </row>
    <row r="73" spans="1:10" s="70" customFormat="1" ht="15">
      <c r="A73" s="78">
        <v>5</v>
      </c>
      <c r="B73" s="79" t="s">
        <v>24</v>
      </c>
      <c r="C73" s="83" t="s">
        <v>59</v>
      </c>
      <c r="D73" s="81">
        <v>45000</v>
      </c>
      <c r="E73" s="81">
        <v>-360</v>
      </c>
      <c r="F73" s="20">
        <f t="shared" si="12"/>
        <v>44640</v>
      </c>
      <c r="G73" s="84">
        <f>45000-360</f>
        <v>44640</v>
      </c>
      <c r="H73" s="26"/>
      <c r="I73" s="26"/>
      <c r="J73" s="26"/>
    </row>
    <row r="74" spans="1:10" s="70" customFormat="1" ht="15">
      <c r="A74" s="78">
        <v>6</v>
      </c>
      <c r="B74" s="79" t="s">
        <v>24</v>
      </c>
      <c r="C74" s="83" t="s">
        <v>60</v>
      </c>
      <c r="D74" s="81">
        <v>20000</v>
      </c>
      <c r="E74" s="81"/>
      <c r="F74" s="20">
        <f t="shared" si="12"/>
        <v>20000</v>
      </c>
      <c r="G74" s="84">
        <v>20000</v>
      </c>
      <c r="H74" s="26"/>
      <c r="I74" s="26"/>
      <c r="J74" s="26"/>
    </row>
    <row r="75" spans="1:10" s="70" customFormat="1" ht="15">
      <c r="A75" s="78">
        <v>7</v>
      </c>
      <c r="B75" s="79" t="s">
        <v>24</v>
      </c>
      <c r="C75" s="83" t="s">
        <v>61</v>
      </c>
      <c r="D75" s="81">
        <v>20000</v>
      </c>
      <c r="E75" s="81"/>
      <c r="F75" s="20">
        <f t="shared" si="12"/>
        <v>20000</v>
      </c>
      <c r="G75" s="84">
        <v>20000</v>
      </c>
      <c r="H75" s="26"/>
      <c r="I75" s="26"/>
      <c r="J75" s="26"/>
    </row>
    <row r="76" spans="1:10" s="70" customFormat="1" ht="15">
      <c r="A76" s="78">
        <v>8</v>
      </c>
      <c r="B76" s="79" t="s">
        <v>24</v>
      </c>
      <c r="C76" s="83" t="s">
        <v>62</v>
      </c>
      <c r="D76" s="81">
        <v>7000</v>
      </c>
      <c r="E76" s="81"/>
      <c r="F76" s="20">
        <f t="shared" si="12"/>
        <v>7000</v>
      </c>
      <c r="G76" s="82">
        <v>7000</v>
      </c>
      <c r="H76" s="26"/>
      <c r="I76" s="26"/>
      <c r="J76" s="26"/>
    </row>
    <row r="77" spans="1:10" s="70" customFormat="1" ht="15">
      <c r="A77" s="78">
        <v>9</v>
      </c>
      <c r="B77" s="79" t="s">
        <v>24</v>
      </c>
      <c r="C77" s="83" t="s">
        <v>63</v>
      </c>
      <c r="D77" s="81">
        <v>45000</v>
      </c>
      <c r="E77" s="81">
        <v>-360</v>
      </c>
      <c r="F77" s="20">
        <f t="shared" si="12"/>
        <v>44640</v>
      </c>
      <c r="G77" s="82">
        <f>45000-360</f>
        <v>44640</v>
      </c>
      <c r="H77" s="26"/>
      <c r="I77" s="26"/>
      <c r="J77" s="26"/>
    </row>
    <row r="78" spans="1:10" s="70" customFormat="1" ht="30">
      <c r="A78" s="78">
        <v>10</v>
      </c>
      <c r="B78" s="79" t="s">
        <v>24</v>
      </c>
      <c r="C78" s="85" t="s">
        <v>64</v>
      </c>
      <c r="D78" s="81">
        <v>50924</v>
      </c>
      <c r="E78" s="81">
        <v>-188</v>
      </c>
      <c r="F78" s="20">
        <f t="shared" si="12"/>
        <v>50736</v>
      </c>
      <c r="G78" s="82">
        <f>50924-188</f>
        <v>50736</v>
      </c>
      <c r="H78" s="26"/>
      <c r="I78" s="26"/>
      <c r="J78" s="26"/>
    </row>
    <row r="79" spans="1:10" s="70" customFormat="1" ht="45">
      <c r="A79" s="78">
        <v>11</v>
      </c>
      <c r="B79" s="79" t="s">
        <v>24</v>
      </c>
      <c r="C79" s="85" t="s">
        <v>65</v>
      </c>
      <c r="D79" s="81">
        <v>0</v>
      </c>
      <c r="E79" s="81"/>
      <c r="F79" s="20">
        <f t="shared" si="12"/>
        <v>0</v>
      </c>
      <c r="G79" s="82">
        <f>223150-223150</f>
        <v>0</v>
      </c>
      <c r="H79" s="26">
        <f>4239850-4239850</f>
        <v>0</v>
      </c>
      <c r="I79" s="26"/>
      <c r="J79" s="26">
        <f>4239850-4239850</f>
        <v>0</v>
      </c>
    </row>
    <row r="80" spans="1:10" s="70" customFormat="1" ht="45">
      <c r="A80" s="78">
        <v>12</v>
      </c>
      <c r="B80" s="79" t="s">
        <v>24</v>
      </c>
      <c r="C80" s="86" t="s">
        <v>66</v>
      </c>
      <c r="D80" s="81">
        <v>0</v>
      </c>
      <c r="E80" s="81"/>
      <c r="F80" s="20">
        <f t="shared" si="12"/>
        <v>0</v>
      </c>
      <c r="G80" s="82">
        <f>10000-10000</f>
        <v>0</v>
      </c>
      <c r="H80" s="26">
        <f>1500000-1500000</f>
        <v>0</v>
      </c>
      <c r="I80" s="26"/>
      <c r="J80" s="26">
        <f>1500000-1500000</f>
        <v>0</v>
      </c>
    </row>
    <row r="81" spans="1:10" s="70" customFormat="1" ht="30">
      <c r="A81" s="78">
        <v>13</v>
      </c>
      <c r="B81" s="79" t="s">
        <v>24</v>
      </c>
      <c r="C81" s="85" t="s">
        <v>67</v>
      </c>
      <c r="D81" s="81">
        <v>356590</v>
      </c>
      <c r="E81" s="81"/>
      <c r="F81" s="20">
        <f t="shared" si="12"/>
        <v>356590</v>
      </c>
      <c r="G81" s="82">
        <v>356590</v>
      </c>
      <c r="H81" s="26"/>
      <c r="I81" s="26"/>
      <c r="J81" s="26"/>
    </row>
    <row r="82" spans="1:10" s="70" customFormat="1" ht="45">
      <c r="A82" s="78">
        <v>14</v>
      </c>
      <c r="B82" s="79" t="s">
        <v>24</v>
      </c>
      <c r="C82" s="86" t="s">
        <v>68</v>
      </c>
      <c r="D82" s="81">
        <v>0</v>
      </c>
      <c r="E82" s="81"/>
      <c r="F82" s="20">
        <f t="shared" si="12"/>
        <v>0</v>
      </c>
      <c r="G82" s="84">
        <f>30000-30000</f>
        <v>0</v>
      </c>
      <c r="H82" s="26">
        <f>570000-570000</f>
        <v>0</v>
      </c>
      <c r="I82" s="26"/>
      <c r="J82" s="26">
        <f>570000-570000</f>
        <v>0</v>
      </c>
    </row>
    <row r="83" spans="1:10" s="70" customFormat="1" ht="60">
      <c r="A83" s="78">
        <v>15</v>
      </c>
      <c r="B83" s="79" t="s">
        <v>24</v>
      </c>
      <c r="C83" s="85" t="s">
        <v>69</v>
      </c>
      <c r="D83" s="81">
        <v>358246</v>
      </c>
      <c r="E83" s="81"/>
      <c r="F83" s="20">
        <f t="shared" si="12"/>
        <v>358246</v>
      </c>
      <c r="G83" s="82">
        <v>358246</v>
      </c>
      <c r="H83" s="26"/>
      <c r="I83" s="26"/>
      <c r="J83" s="26"/>
    </row>
    <row r="84" spans="1:10" s="70" customFormat="1" ht="45">
      <c r="A84" s="78">
        <v>16</v>
      </c>
      <c r="B84" s="79" t="s">
        <v>24</v>
      </c>
      <c r="C84" s="85" t="s">
        <v>70</v>
      </c>
      <c r="D84" s="81">
        <v>308840</v>
      </c>
      <c r="E84" s="81"/>
      <c r="F84" s="20">
        <f t="shared" si="12"/>
        <v>308840</v>
      </c>
      <c r="G84" s="82">
        <v>308840</v>
      </c>
      <c r="H84" s="26"/>
      <c r="I84" s="26"/>
      <c r="J84" s="26"/>
    </row>
    <row r="85" spans="1:10" s="70" customFormat="1" ht="30">
      <c r="A85" s="78">
        <v>17</v>
      </c>
      <c r="B85" s="79" t="s">
        <v>24</v>
      </c>
      <c r="C85" s="85" t="s">
        <v>71</v>
      </c>
      <c r="D85" s="81">
        <v>210000</v>
      </c>
      <c r="E85" s="81">
        <v>-26406</v>
      </c>
      <c r="F85" s="20">
        <f t="shared" si="12"/>
        <v>183594</v>
      </c>
      <c r="G85" s="81">
        <f>210000-26406</f>
        <v>183594</v>
      </c>
      <c r="H85" s="26"/>
      <c r="I85" s="26"/>
      <c r="J85" s="26"/>
    </row>
    <row r="86" spans="1:10" s="70" customFormat="1" ht="45">
      <c r="A86" s="78">
        <v>18</v>
      </c>
      <c r="B86" s="79" t="s">
        <v>24</v>
      </c>
      <c r="C86" s="85" t="s">
        <v>72</v>
      </c>
      <c r="D86" s="81">
        <v>50000</v>
      </c>
      <c r="E86" s="81"/>
      <c r="F86" s="20">
        <f t="shared" si="12"/>
        <v>50000</v>
      </c>
      <c r="G86" s="82">
        <f>20000+30000</f>
        <v>50000</v>
      </c>
      <c r="H86" s="26"/>
      <c r="I86" s="26"/>
      <c r="J86" s="26"/>
    </row>
    <row r="87" spans="1:10" s="70" customFormat="1" ht="30">
      <c r="A87" s="78">
        <v>19</v>
      </c>
      <c r="B87" s="79" t="s">
        <v>24</v>
      </c>
      <c r="C87" s="85" t="s">
        <v>73</v>
      </c>
      <c r="D87" s="81">
        <v>13000</v>
      </c>
      <c r="E87" s="81">
        <v>-110</v>
      </c>
      <c r="F87" s="20">
        <f t="shared" si="12"/>
        <v>12890</v>
      </c>
      <c r="G87" s="82">
        <f>13000-110</f>
        <v>12890</v>
      </c>
      <c r="H87" s="26"/>
      <c r="I87" s="26"/>
      <c r="J87" s="26"/>
    </row>
    <row r="88" spans="1:10" s="70" customFormat="1" ht="45">
      <c r="A88" s="78">
        <v>20</v>
      </c>
      <c r="B88" s="79" t="s">
        <v>24</v>
      </c>
      <c r="C88" s="85" t="s">
        <v>74</v>
      </c>
      <c r="D88" s="81">
        <v>65000</v>
      </c>
      <c r="E88" s="81">
        <v>-2709</v>
      </c>
      <c r="F88" s="20">
        <f t="shared" si="12"/>
        <v>62291</v>
      </c>
      <c r="G88" s="82">
        <f>65000-2709</f>
        <v>62291</v>
      </c>
      <c r="H88" s="26"/>
      <c r="I88" s="26"/>
      <c r="J88" s="26"/>
    </row>
    <row r="89" spans="1:10" s="70" customFormat="1" ht="30">
      <c r="A89" s="78">
        <v>21</v>
      </c>
      <c r="B89" s="79" t="s">
        <v>24</v>
      </c>
      <c r="C89" s="85" t="s">
        <v>75</v>
      </c>
      <c r="D89" s="81">
        <v>7000</v>
      </c>
      <c r="E89" s="81">
        <f>-676+156-98</f>
        <v>-618</v>
      </c>
      <c r="F89" s="20">
        <f t="shared" si="12"/>
        <v>6382</v>
      </c>
      <c r="G89" s="82">
        <f>7000-676+156-98</f>
        <v>6382</v>
      </c>
      <c r="H89" s="26"/>
      <c r="I89" s="26"/>
      <c r="J89" s="26"/>
    </row>
    <row r="90" spans="1:10" s="70" customFormat="1" ht="15">
      <c r="A90" s="78">
        <v>22</v>
      </c>
      <c r="B90" s="79" t="s">
        <v>24</v>
      </c>
      <c r="C90" s="80" t="s">
        <v>171</v>
      </c>
      <c r="D90" s="81">
        <v>0</v>
      </c>
      <c r="E90" s="81"/>
      <c r="F90" s="20">
        <f t="shared" si="12"/>
        <v>0</v>
      </c>
      <c r="G90" s="82"/>
      <c r="H90" s="26"/>
      <c r="I90" s="26"/>
      <c r="J90" s="81">
        <f>2667-2667</f>
        <v>0</v>
      </c>
    </row>
    <row r="91" spans="1:10" s="70" customFormat="1" ht="15">
      <c r="A91" s="78">
        <v>23</v>
      </c>
      <c r="B91" s="79" t="s">
        <v>24</v>
      </c>
      <c r="C91" s="80" t="s">
        <v>122</v>
      </c>
      <c r="D91" s="81">
        <v>8902</v>
      </c>
      <c r="E91" s="81"/>
      <c r="F91" s="20">
        <f t="shared" si="12"/>
        <v>8902</v>
      </c>
      <c r="G91" s="82"/>
      <c r="H91" s="26"/>
      <c r="I91" s="26"/>
      <c r="J91" s="81">
        <f>6235+2667</f>
        <v>8902</v>
      </c>
    </row>
    <row r="92" spans="1:10" s="70" customFormat="1" ht="45">
      <c r="A92" s="78">
        <v>24</v>
      </c>
      <c r="B92" s="79" t="s">
        <v>24</v>
      </c>
      <c r="C92" s="80" t="s">
        <v>138</v>
      </c>
      <c r="D92" s="81">
        <v>161000</v>
      </c>
      <c r="E92" s="81">
        <v>-48</v>
      </c>
      <c r="F92" s="20">
        <f t="shared" si="12"/>
        <v>160952</v>
      </c>
      <c r="G92" s="82">
        <f>161000-48</f>
        <v>160952</v>
      </c>
      <c r="H92" s="26"/>
      <c r="I92" s="26"/>
      <c r="J92" s="81"/>
    </row>
    <row r="93" spans="1:10" s="70" customFormat="1" ht="60">
      <c r="A93" s="78">
        <v>25</v>
      </c>
      <c r="B93" s="79" t="s">
        <v>27</v>
      </c>
      <c r="C93" s="80" t="s">
        <v>139</v>
      </c>
      <c r="D93" s="81">
        <v>25000</v>
      </c>
      <c r="E93" s="81">
        <v>-201</v>
      </c>
      <c r="F93" s="20">
        <f t="shared" si="12"/>
        <v>24799</v>
      </c>
      <c r="G93" s="82">
        <f>25000-201</f>
        <v>24799</v>
      </c>
      <c r="H93" s="26"/>
      <c r="I93" s="26"/>
      <c r="J93" s="81"/>
    </row>
    <row r="94" spans="1:10" s="70" customFormat="1" ht="45">
      <c r="A94" s="78">
        <v>26</v>
      </c>
      <c r="B94" s="79" t="s">
        <v>24</v>
      </c>
      <c r="C94" s="80" t="s">
        <v>140</v>
      </c>
      <c r="D94" s="81">
        <v>107000</v>
      </c>
      <c r="E94" s="81">
        <v>-980</v>
      </c>
      <c r="F94" s="20">
        <f t="shared" si="12"/>
        <v>106020</v>
      </c>
      <c r="G94" s="82">
        <f>107000-980</f>
        <v>106020</v>
      </c>
      <c r="H94" s="26"/>
      <c r="I94" s="26"/>
      <c r="J94" s="81"/>
    </row>
    <row r="95" spans="1:10" s="70" customFormat="1" ht="45">
      <c r="A95" s="78">
        <v>27</v>
      </c>
      <c r="B95" s="79" t="s">
        <v>24</v>
      </c>
      <c r="C95" s="80" t="s">
        <v>141</v>
      </c>
      <c r="D95" s="81">
        <v>56000</v>
      </c>
      <c r="E95" s="81">
        <v>-448</v>
      </c>
      <c r="F95" s="20">
        <f t="shared" si="12"/>
        <v>55552</v>
      </c>
      <c r="G95" s="82">
        <f>56000-448</f>
        <v>55552</v>
      </c>
      <c r="H95" s="26"/>
      <c r="I95" s="26"/>
      <c r="J95" s="81"/>
    </row>
    <row r="96" spans="1:10" s="70" customFormat="1" ht="15">
      <c r="A96" s="78">
        <v>28</v>
      </c>
      <c r="B96" s="79" t="s">
        <v>24</v>
      </c>
      <c r="C96" s="80" t="s">
        <v>142</v>
      </c>
      <c r="D96" s="81">
        <v>34000</v>
      </c>
      <c r="E96" s="81"/>
      <c r="F96" s="20">
        <f t="shared" si="12"/>
        <v>34000</v>
      </c>
      <c r="G96" s="82">
        <v>34000</v>
      </c>
      <c r="H96" s="26"/>
      <c r="I96" s="26"/>
      <c r="J96" s="81"/>
    </row>
    <row r="97" spans="1:10" s="70" customFormat="1" ht="15">
      <c r="A97" s="78">
        <v>29</v>
      </c>
      <c r="B97" s="79" t="s">
        <v>24</v>
      </c>
      <c r="C97" s="80" t="s">
        <v>143</v>
      </c>
      <c r="D97" s="81">
        <v>9000</v>
      </c>
      <c r="E97" s="81">
        <v>-1064</v>
      </c>
      <c r="F97" s="20">
        <f t="shared" si="12"/>
        <v>7936</v>
      </c>
      <c r="G97" s="82">
        <f>9000-1064</f>
        <v>7936</v>
      </c>
      <c r="H97" s="26"/>
      <c r="I97" s="26"/>
      <c r="J97" s="81"/>
    </row>
    <row r="98" spans="1:10" s="70" customFormat="1" ht="15">
      <c r="A98" s="78">
        <v>30</v>
      </c>
      <c r="B98" s="79" t="s">
        <v>24</v>
      </c>
      <c r="C98" s="80" t="s">
        <v>172</v>
      </c>
      <c r="D98" s="81">
        <v>26000</v>
      </c>
      <c r="E98" s="81">
        <v>-300</v>
      </c>
      <c r="F98" s="20">
        <f t="shared" si="12"/>
        <v>25700</v>
      </c>
      <c r="G98" s="82">
        <f>26000-300</f>
        <v>25700</v>
      </c>
      <c r="H98" s="26"/>
      <c r="I98" s="26"/>
      <c r="J98" s="81"/>
    </row>
    <row r="99" spans="1:10" s="70" customFormat="1" ht="30">
      <c r="A99" s="78">
        <v>31</v>
      </c>
      <c r="B99" s="79" t="s">
        <v>24</v>
      </c>
      <c r="C99" s="80" t="s">
        <v>144</v>
      </c>
      <c r="D99" s="81">
        <v>85000</v>
      </c>
      <c r="E99" s="81"/>
      <c r="F99" s="20">
        <f t="shared" si="12"/>
        <v>85000</v>
      </c>
      <c r="G99" s="82">
        <v>85000</v>
      </c>
      <c r="H99" s="26"/>
      <c r="I99" s="26"/>
      <c r="J99" s="81"/>
    </row>
    <row r="100" spans="1:10" s="70" customFormat="1" ht="45">
      <c r="A100" s="78">
        <v>32</v>
      </c>
      <c r="B100" s="79" t="s">
        <v>27</v>
      </c>
      <c r="C100" s="80" t="s">
        <v>148</v>
      </c>
      <c r="D100" s="81">
        <v>350000</v>
      </c>
      <c r="E100" s="81">
        <v>-9496</v>
      </c>
      <c r="F100" s="20">
        <f t="shared" si="12"/>
        <v>340504</v>
      </c>
      <c r="G100" s="82">
        <f>350000-9496</f>
        <v>340504</v>
      </c>
      <c r="H100" s="26"/>
      <c r="I100" s="26"/>
      <c r="J100" s="81"/>
    </row>
    <row r="101" spans="1:10" s="70" customFormat="1" ht="30">
      <c r="A101" s="78">
        <v>33</v>
      </c>
      <c r="B101" s="79" t="s">
        <v>24</v>
      </c>
      <c r="C101" s="80" t="s">
        <v>149</v>
      </c>
      <c r="D101" s="81">
        <v>100000</v>
      </c>
      <c r="E101" s="81">
        <f>-1916+678</f>
        <v>-1238</v>
      </c>
      <c r="F101" s="20">
        <f t="shared" si="12"/>
        <v>98762</v>
      </c>
      <c r="G101" s="82">
        <f>100000-1916+678</f>
        <v>98762</v>
      </c>
      <c r="H101" s="26"/>
      <c r="I101" s="26"/>
      <c r="J101" s="81"/>
    </row>
    <row r="102" spans="1:10" s="70" customFormat="1" ht="30">
      <c r="A102" s="78">
        <v>34</v>
      </c>
      <c r="B102" s="79" t="s">
        <v>24</v>
      </c>
      <c r="C102" s="80" t="s">
        <v>150</v>
      </c>
      <c r="D102" s="81">
        <v>300000</v>
      </c>
      <c r="E102" s="81">
        <v>-7355</v>
      </c>
      <c r="F102" s="20">
        <f t="shared" si="12"/>
        <v>292645</v>
      </c>
      <c r="G102" s="82">
        <f>300000-7355</f>
        <v>292645</v>
      </c>
      <c r="H102" s="26"/>
      <c r="I102" s="26"/>
      <c r="J102" s="81"/>
    </row>
    <row r="103" spans="1:10" s="70" customFormat="1" ht="30">
      <c r="A103" s="78">
        <v>35</v>
      </c>
      <c r="B103" s="79" t="s">
        <v>27</v>
      </c>
      <c r="C103" s="80" t="s">
        <v>151</v>
      </c>
      <c r="D103" s="81">
        <v>25000</v>
      </c>
      <c r="E103" s="81">
        <f>-5063+264</f>
        <v>-4799</v>
      </c>
      <c r="F103" s="20">
        <f t="shared" si="12"/>
        <v>20201</v>
      </c>
      <c r="G103" s="82">
        <f>25000-5063+264</f>
        <v>20201</v>
      </c>
      <c r="H103" s="26"/>
      <c r="I103" s="26"/>
      <c r="J103" s="81"/>
    </row>
    <row r="104" spans="1:10" s="70" customFormat="1" ht="15">
      <c r="A104" s="78">
        <v>36</v>
      </c>
      <c r="B104" s="79" t="s">
        <v>24</v>
      </c>
      <c r="C104" s="80" t="s">
        <v>153</v>
      </c>
      <c r="D104" s="81">
        <v>99000</v>
      </c>
      <c r="E104" s="81">
        <v>-124</v>
      </c>
      <c r="F104" s="20">
        <f t="shared" si="12"/>
        <v>98876</v>
      </c>
      <c r="G104" s="82">
        <f>99000-124</f>
        <v>98876</v>
      </c>
      <c r="H104" s="26"/>
      <c r="I104" s="26"/>
      <c r="J104" s="81"/>
    </row>
    <row r="105" spans="1:10" s="70" customFormat="1" ht="30">
      <c r="A105" s="78">
        <v>37</v>
      </c>
      <c r="B105" s="79" t="s">
        <v>24</v>
      </c>
      <c r="C105" s="80" t="s">
        <v>152</v>
      </c>
      <c r="D105" s="81">
        <v>18000</v>
      </c>
      <c r="E105" s="81">
        <v>-895</v>
      </c>
      <c r="F105" s="20">
        <f>D105+E105</f>
        <v>17105</v>
      </c>
      <c r="G105" s="82">
        <f>18000-895</f>
        <v>17105</v>
      </c>
      <c r="H105" s="26"/>
      <c r="I105" s="26"/>
      <c r="J105" s="81"/>
    </row>
    <row r="106" spans="1:10" s="70" customFormat="1" ht="30">
      <c r="A106" s="78">
        <v>38</v>
      </c>
      <c r="B106" s="79" t="s">
        <v>176</v>
      </c>
      <c r="C106" s="80" t="s">
        <v>177</v>
      </c>
      <c r="D106" s="81">
        <v>10000</v>
      </c>
      <c r="E106" s="81">
        <v>-204</v>
      </c>
      <c r="F106" s="20">
        <f t="shared" si="12"/>
        <v>9796</v>
      </c>
      <c r="G106" s="82">
        <f>10000-204</f>
        <v>9796</v>
      </c>
      <c r="H106" s="26"/>
      <c r="I106" s="26"/>
      <c r="J106" s="81"/>
    </row>
    <row r="107" spans="1:10" s="70" customFormat="1" ht="15">
      <c r="A107" s="78">
        <v>39</v>
      </c>
      <c r="B107" s="79" t="s">
        <v>176</v>
      </c>
      <c r="C107" s="80" t="s">
        <v>178</v>
      </c>
      <c r="D107" s="81">
        <v>80000</v>
      </c>
      <c r="E107" s="81">
        <v>-20</v>
      </c>
      <c r="F107" s="20">
        <f t="shared" si="12"/>
        <v>79980</v>
      </c>
      <c r="G107" s="82">
        <f>80000-20</f>
        <v>79980</v>
      </c>
      <c r="H107" s="26"/>
      <c r="I107" s="26"/>
      <c r="J107" s="81"/>
    </row>
    <row r="108" spans="1:10" s="70" customFormat="1" ht="15">
      <c r="A108" s="78">
        <v>40</v>
      </c>
      <c r="B108" s="79" t="s">
        <v>176</v>
      </c>
      <c r="C108" s="80" t="s">
        <v>222</v>
      </c>
      <c r="D108" s="81">
        <v>24800</v>
      </c>
      <c r="E108" s="81">
        <v>58939</v>
      </c>
      <c r="F108" s="20">
        <f t="shared" si="12"/>
        <v>83739</v>
      </c>
      <c r="G108" s="82">
        <f>24800+58939</f>
        <v>83739</v>
      </c>
      <c r="H108" s="26"/>
      <c r="I108" s="26"/>
      <c r="J108" s="81"/>
    </row>
    <row r="109" spans="1:10" s="70" customFormat="1" ht="15">
      <c r="A109" s="78">
        <v>41</v>
      </c>
      <c r="B109" s="79" t="s">
        <v>176</v>
      </c>
      <c r="C109" s="80" t="s">
        <v>179</v>
      </c>
      <c r="D109" s="81">
        <v>44640</v>
      </c>
      <c r="E109" s="81"/>
      <c r="F109" s="20">
        <f t="shared" si="12"/>
        <v>44640</v>
      </c>
      <c r="G109" s="82">
        <v>44640</v>
      </c>
      <c r="H109" s="26"/>
      <c r="I109" s="26"/>
      <c r="J109" s="81"/>
    </row>
    <row r="110" spans="1:10" s="70" customFormat="1" ht="15">
      <c r="A110" s="78">
        <v>42</v>
      </c>
      <c r="B110" s="79" t="s">
        <v>176</v>
      </c>
      <c r="C110" s="80" t="s">
        <v>180</v>
      </c>
      <c r="D110" s="81">
        <v>25560</v>
      </c>
      <c r="E110" s="81">
        <v>-16</v>
      </c>
      <c r="F110" s="20">
        <f t="shared" si="12"/>
        <v>25544</v>
      </c>
      <c r="G110" s="82">
        <f>25560-16</f>
        <v>25544</v>
      </c>
      <c r="H110" s="26"/>
      <c r="I110" s="26"/>
      <c r="J110" s="81"/>
    </row>
    <row r="111" spans="1:10" ht="30">
      <c r="A111" s="74"/>
      <c r="B111" s="75">
        <v>66</v>
      </c>
      <c r="C111" s="87" t="s">
        <v>76</v>
      </c>
      <c r="D111" s="77">
        <f aca="true" t="shared" si="13" ref="D111:J111">SUM(D112:D118)</f>
        <v>898000</v>
      </c>
      <c r="E111" s="77">
        <f t="shared" si="13"/>
        <v>0</v>
      </c>
      <c r="F111" s="77">
        <f t="shared" si="13"/>
        <v>898000</v>
      </c>
      <c r="G111" s="77">
        <f t="shared" si="13"/>
        <v>868000</v>
      </c>
      <c r="H111" s="77">
        <f t="shared" si="13"/>
        <v>0</v>
      </c>
      <c r="I111" s="77"/>
      <c r="J111" s="77">
        <f t="shared" si="13"/>
        <v>30000</v>
      </c>
    </row>
    <row r="112" spans="1:10" s="22" customFormat="1" ht="30">
      <c r="A112" s="37">
        <v>1</v>
      </c>
      <c r="B112" s="27" t="s">
        <v>24</v>
      </c>
      <c r="C112" s="88" t="s">
        <v>77</v>
      </c>
      <c r="D112" s="89">
        <v>289000</v>
      </c>
      <c r="E112" s="89"/>
      <c r="F112" s="20">
        <f aca="true" t="shared" si="14" ref="F112:F118">D112+E112</f>
        <v>289000</v>
      </c>
      <c r="G112" s="89">
        <v>284000</v>
      </c>
      <c r="H112" s="90"/>
      <c r="I112" s="90"/>
      <c r="J112" s="90">
        <v>5000</v>
      </c>
    </row>
    <row r="113" spans="1:10" ht="15">
      <c r="A113" s="37">
        <v>2</v>
      </c>
      <c r="B113" s="27" t="s">
        <v>24</v>
      </c>
      <c r="C113" s="91" t="s">
        <v>78</v>
      </c>
      <c r="D113" s="89">
        <v>335000</v>
      </c>
      <c r="E113" s="89"/>
      <c r="F113" s="20">
        <f t="shared" si="14"/>
        <v>335000</v>
      </c>
      <c r="G113" s="92">
        <f>191000+144000</f>
        <v>335000</v>
      </c>
      <c r="H113" s="93"/>
      <c r="I113" s="93"/>
      <c r="J113" s="93"/>
    </row>
    <row r="114" spans="1:10" ht="15">
      <c r="A114" s="37">
        <v>3</v>
      </c>
      <c r="B114" s="27" t="s">
        <v>24</v>
      </c>
      <c r="C114" s="91" t="s">
        <v>183</v>
      </c>
      <c r="D114" s="89">
        <v>110500</v>
      </c>
      <c r="E114" s="89"/>
      <c r="F114" s="20">
        <f t="shared" si="14"/>
        <v>110500</v>
      </c>
      <c r="G114" s="92">
        <f>150000-39500</f>
        <v>110500</v>
      </c>
      <c r="H114" s="93"/>
      <c r="I114" s="93"/>
      <c r="J114" s="93"/>
    </row>
    <row r="115" spans="1:10" ht="15">
      <c r="A115" s="37">
        <v>4</v>
      </c>
      <c r="B115" s="27" t="s">
        <v>24</v>
      </c>
      <c r="C115" s="91" t="s">
        <v>145</v>
      </c>
      <c r="D115" s="89">
        <v>44000</v>
      </c>
      <c r="E115" s="89"/>
      <c r="F115" s="20">
        <f t="shared" si="14"/>
        <v>44000</v>
      </c>
      <c r="G115" s="92">
        <v>19000</v>
      </c>
      <c r="H115" s="93"/>
      <c r="I115" s="93"/>
      <c r="J115" s="93">
        <v>25000</v>
      </c>
    </row>
    <row r="116" spans="1:10" ht="30">
      <c r="A116" s="37">
        <v>5</v>
      </c>
      <c r="B116" s="27" t="s">
        <v>24</v>
      </c>
      <c r="C116" s="91" t="s">
        <v>181</v>
      </c>
      <c r="D116" s="89">
        <v>80000</v>
      </c>
      <c r="E116" s="89"/>
      <c r="F116" s="20">
        <f t="shared" si="14"/>
        <v>80000</v>
      </c>
      <c r="G116" s="92">
        <f>80000</f>
        <v>80000</v>
      </c>
      <c r="H116" s="93"/>
      <c r="I116" s="93"/>
      <c r="J116" s="93"/>
    </row>
    <row r="117" spans="1:10" ht="15">
      <c r="A117" s="37">
        <v>6</v>
      </c>
      <c r="B117" s="27" t="s">
        <v>24</v>
      </c>
      <c r="C117" s="91" t="s">
        <v>182</v>
      </c>
      <c r="D117" s="89">
        <v>16600</v>
      </c>
      <c r="E117" s="89"/>
      <c r="F117" s="20">
        <f t="shared" si="14"/>
        <v>16600</v>
      </c>
      <c r="G117" s="92">
        <v>16600</v>
      </c>
      <c r="H117" s="93"/>
      <c r="I117" s="93"/>
      <c r="J117" s="93"/>
    </row>
    <row r="118" spans="1:10" ht="15">
      <c r="A118" s="37">
        <v>7</v>
      </c>
      <c r="B118" s="27" t="s">
        <v>24</v>
      </c>
      <c r="C118" s="91" t="s">
        <v>184</v>
      </c>
      <c r="D118" s="89">
        <v>22900</v>
      </c>
      <c r="E118" s="89"/>
      <c r="F118" s="20">
        <f t="shared" si="14"/>
        <v>22900</v>
      </c>
      <c r="G118" s="92">
        <v>22900</v>
      </c>
      <c r="H118" s="93"/>
      <c r="I118" s="93"/>
      <c r="J118" s="93"/>
    </row>
    <row r="119" spans="1:10" s="70" customFormat="1" ht="15">
      <c r="A119" s="71"/>
      <c r="B119" s="94">
        <v>67</v>
      </c>
      <c r="C119" s="73" t="s">
        <v>79</v>
      </c>
      <c r="D119" s="61">
        <f aca="true" t="shared" si="15" ref="D119:J119">D120+D126+D144+D151+D153+D157+D160</f>
        <v>1444000</v>
      </c>
      <c r="E119" s="61">
        <f t="shared" si="15"/>
        <v>1850</v>
      </c>
      <c r="F119" s="61">
        <f t="shared" si="15"/>
        <v>1445850</v>
      </c>
      <c r="G119" s="61">
        <f t="shared" si="15"/>
        <v>1444000</v>
      </c>
      <c r="H119" s="61">
        <f t="shared" si="15"/>
        <v>0</v>
      </c>
      <c r="I119" s="61">
        <f t="shared" si="15"/>
        <v>1850</v>
      </c>
      <c r="J119" s="61">
        <f t="shared" si="15"/>
        <v>0</v>
      </c>
    </row>
    <row r="120" spans="1:10" s="70" customFormat="1" ht="15">
      <c r="A120" s="95"/>
      <c r="B120" s="96">
        <v>67</v>
      </c>
      <c r="C120" s="97" t="s">
        <v>80</v>
      </c>
      <c r="D120" s="98">
        <f>SUM(D121:D123)</f>
        <v>50000</v>
      </c>
      <c r="E120" s="98">
        <f aca="true" t="shared" si="16" ref="E120:J120">SUM(E121:E123)</f>
        <v>1850</v>
      </c>
      <c r="F120" s="98">
        <f t="shared" si="16"/>
        <v>51850</v>
      </c>
      <c r="G120" s="98">
        <f t="shared" si="16"/>
        <v>50000</v>
      </c>
      <c r="H120" s="98">
        <f t="shared" si="16"/>
        <v>0</v>
      </c>
      <c r="I120" s="98">
        <f t="shared" si="16"/>
        <v>1850</v>
      </c>
      <c r="J120" s="98">
        <f t="shared" si="16"/>
        <v>0</v>
      </c>
    </row>
    <row r="121" spans="1:10" s="70" customFormat="1" ht="15">
      <c r="A121" s="37">
        <v>1</v>
      </c>
      <c r="B121" s="27" t="s">
        <v>81</v>
      </c>
      <c r="C121" s="17" t="s">
        <v>82</v>
      </c>
      <c r="D121" s="99">
        <v>2200</v>
      </c>
      <c r="E121" s="99"/>
      <c r="F121" s="20">
        <f>D121+E121</f>
        <v>2200</v>
      </c>
      <c r="G121" s="99">
        <v>2200</v>
      </c>
      <c r="H121" s="99"/>
      <c r="I121" s="99"/>
      <c r="J121" s="99"/>
    </row>
    <row r="122" spans="1:10" s="70" customFormat="1" ht="15">
      <c r="A122" s="50">
        <v>2</v>
      </c>
      <c r="B122" s="62" t="s">
        <v>83</v>
      </c>
      <c r="C122" s="100" t="s">
        <v>84</v>
      </c>
      <c r="D122" s="101">
        <v>47800</v>
      </c>
      <c r="E122" s="101"/>
      <c r="F122" s="20">
        <f>D122+E122</f>
        <v>47800</v>
      </c>
      <c r="G122" s="101">
        <v>47800</v>
      </c>
      <c r="H122" s="101"/>
      <c r="I122" s="101"/>
      <c r="J122" s="101"/>
    </row>
    <row r="123" spans="1:10" s="134" customFormat="1" ht="16.5">
      <c r="A123" s="43"/>
      <c r="B123" s="132"/>
      <c r="C123" s="135" t="s">
        <v>225</v>
      </c>
      <c r="D123" s="133">
        <f>SUM(D124:D125)</f>
        <v>0</v>
      </c>
      <c r="E123" s="133">
        <f aca="true" t="shared" si="17" ref="E123:J123">SUM(E124:E125)</f>
        <v>1850</v>
      </c>
      <c r="F123" s="136">
        <f t="shared" si="17"/>
        <v>1850</v>
      </c>
      <c r="G123" s="133">
        <f t="shared" si="17"/>
        <v>0</v>
      </c>
      <c r="H123" s="133">
        <f t="shared" si="17"/>
        <v>0</v>
      </c>
      <c r="I123" s="133">
        <f t="shared" si="17"/>
        <v>1850</v>
      </c>
      <c r="J123" s="133">
        <f t="shared" si="17"/>
        <v>0</v>
      </c>
    </row>
    <row r="124" spans="1:10" s="22" customFormat="1" ht="16.5">
      <c r="A124" s="37">
        <v>1</v>
      </c>
      <c r="B124" s="62" t="s">
        <v>89</v>
      </c>
      <c r="C124" s="130" t="s">
        <v>226</v>
      </c>
      <c r="D124" s="99"/>
      <c r="E124" s="99">
        <v>1200</v>
      </c>
      <c r="F124" s="20">
        <f>D124+E124</f>
        <v>1200</v>
      </c>
      <c r="G124" s="99"/>
      <c r="H124" s="99"/>
      <c r="I124" s="99">
        <v>1200</v>
      </c>
      <c r="J124" s="99"/>
    </row>
    <row r="125" spans="1:10" s="22" customFormat="1" ht="16.5">
      <c r="A125" s="37">
        <v>2</v>
      </c>
      <c r="B125" s="62" t="s">
        <v>89</v>
      </c>
      <c r="C125" s="131" t="s">
        <v>227</v>
      </c>
      <c r="D125" s="99"/>
      <c r="E125" s="99">
        <v>650</v>
      </c>
      <c r="F125" s="20">
        <f>D125+E125</f>
        <v>650</v>
      </c>
      <c r="G125" s="99"/>
      <c r="H125" s="99"/>
      <c r="I125" s="99">
        <v>650</v>
      </c>
      <c r="J125" s="99"/>
    </row>
    <row r="126" spans="1:10" s="70" customFormat="1" ht="30">
      <c r="A126" s="95"/>
      <c r="B126" s="96">
        <v>67</v>
      </c>
      <c r="C126" s="97" t="s">
        <v>85</v>
      </c>
      <c r="D126" s="98">
        <f aca="true" t="shared" si="18" ref="D126:J126">SUM(D127:D143)</f>
        <v>776000</v>
      </c>
      <c r="E126" s="98">
        <f t="shared" si="18"/>
        <v>0</v>
      </c>
      <c r="F126" s="98">
        <f t="shared" si="18"/>
        <v>776000</v>
      </c>
      <c r="G126" s="98">
        <f t="shared" si="18"/>
        <v>776000</v>
      </c>
      <c r="H126" s="98">
        <f t="shared" si="18"/>
        <v>0</v>
      </c>
      <c r="I126" s="98"/>
      <c r="J126" s="98">
        <f t="shared" si="18"/>
        <v>0</v>
      </c>
    </row>
    <row r="127" spans="1:10" s="22" customFormat="1" ht="30">
      <c r="A127" s="37">
        <v>1</v>
      </c>
      <c r="B127" s="27" t="s">
        <v>81</v>
      </c>
      <c r="C127" s="17" t="s">
        <v>86</v>
      </c>
      <c r="D127" s="99">
        <v>150000</v>
      </c>
      <c r="E127" s="99"/>
      <c r="F127" s="20">
        <f aca="true" t="shared" si="19" ref="F127:F143">D127+E127</f>
        <v>150000</v>
      </c>
      <c r="G127" s="99">
        <v>150000</v>
      </c>
      <c r="H127" s="99"/>
      <c r="I127" s="99"/>
      <c r="J127" s="99"/>
    </row>
    <row r="128" spans="1:10" s="22" customFormat="1" ht="44.25" customHeight="1">
      <c r="A128" s="37">
        <v>2</v>
      </c>
      <c r="B128" s="27" t="s">
        <v>83</v>
      </c>
      <c r="C128" s="17" t="s">
        <v>87</v>
      </c>
      <c r="D128" s="99">
        <v>356000</v>
      </c>
      <c r="E128" s="99"/>
      <c r="F128" s="20">
        <f t="shared" si="19"/>
        <v>356000</v>
      </c>
      <c r="G128" s="99">
        <v>356000</v>
      </c>
      <c r="H128" s="99"/>
      <c r="I128" s="99"/>
      <c r="J128" s="99"/>
    </row>
    <row r="129" spans="1:10" s="22" customFormat="1" ht="15">
      <c r="A129" s="37">
        <v>3</v>
      </c>
      <c r="B129" s="62" t="s">
        <v>89</v>
      </c>
      <c r="C129" s="80" t="s">
        <v>128</v>
      </c>
      <c r="D129" s="99">
        <v>70000</v>
      </c>
      <c r="E129" s="99"/>
      <c r="F129" s="20">
        <f t="shared" si="19"/>
        <v>70000</v>
      </c>
      <c r="G129" s="99">
        <v>70000</v>
      </c>
      <c r="H129" s="99"/>
      <c r="I129" s="99"/>
      <c r="J129" s="99"/>
    </row>
    <row r="130" spans="1:10" s="22" customFormat="1" ht="45">
      <c r="A130" s="37">
        <v>4</v>
      </c>
      <c r="B130" s="62" t="s">
        <v>89</v>
      </c>
      <c r="C130" s="80" t="s">
        <v>129</v>
      </c>
      <c r="D130" s="99">
        <v>10000</v>
      </c>
      <c r="E130" s="99"/>
      <c r="F130" s="20">
        <f t="shared" si="19"/>
        <v>10000</v>
      </c>
      <c r="G130" s="99">
        <v>10000</v>
      </c>
      <c r="H130" s="99"/>
      <c r="I130" s="99"/>
      <c r="J130" s="99"/>
    </row>
    <row r="131" spans="1:10" s="22" customFormat="1" ht="30">
      <c r="A131" s="37">
        <v>5</v>
      </c>
      <c r="B131" s="62" t="s">
        <v>89</v>
      </c>
      <c r="C131" s="80" t="s">
        <v>130</v>
      </c>
      <c r="D131" s="99">
        <v>24000</v>
      </c>
      <c r="E131" s="99"/>
      <c r="F131" s="20">
        <f t="shared" si="19"/>
        <v>24000</v>
      </c>
      <c r="G131" s="99">
        <v>24000</v>
      </c>
      <c r="H131" s="99"/>
      <c r="I131" s="99"/>
      <c r="J131" s="99"/>
    </row>
    <row r="132" spans="1:10" s="22" customFormat="1" ht="15">
      <c r="A132" s="37">
        <v>6</v>
      </c>
      <c r="B132" s="62" t="s">
        <v>89</v>
      </c>
      <c r="C132" s="80" t="s">
        <v>131</v>
      </c>
      <c r="D132" s="99">
        <v>18000</v>
      </c>
      <c r="E132" s="99"/>
      <c r="F132" s="20">
        <f t="shared" si="19"/>
        <v>18000</v>
      </c>
      <c r="G132" s="99">
        <v>18000</v>
      </c>
      <c r="H132" s="99"/>
      <c r="I132" s="99"/>
      <c r="J132" s="99"/>
    </row>
    <row r="133" spans="1:10" s="22" customFormat="1" ht="60">
      <c r="A133" s="37">
        <v>7</v>
      </c>
      <c r="B133" s="62" t="s">
        <v>89</v>
      </c>
      <c r="C133" s="80" t="s">
        <v>185</v>
      </c>
      <c r="D133" s="99">
        <v>68500</v>
      </c>
      <c r="E133" s="99"/>
      <c r="F133" s="20">
        <f t="shared" si="19"/>
        <v>68500</v>
      </c>
      <c r="G133" s="99">
        <v>68500</v>
      </c>
      <c r="H133" s="99"/>
      <c r="I133" s="99"/>
      <c r="J133" s="99"/>
    </row>
    <row r="134" spans="1:10" s="22" customFormat="1" ht="45">
      <c r="A134" s="37">
        <v>8</v>
      </c>
      <c r="B134" s="62" t="s">
        <v>89</v>
      </c>
      <c r="C134" s="80" t="s">
        <v>186</v>
      </c>
      <c r="D134" s="99">
        <v>9500</v>
      </c>
      <c r="E134" s="99"/>
      <c r="F134" s="20">
        <f t="shared" si="19"/>
        <v>9500</v>
      </c>
      <c r="G134" s="99">
        <v>9500</v>
      </c>
      <c r="H134" s="99"/>
      <c r="I134" s="99"/>
      <c r="J134" s="99"/>
    </row>
    <row r="135" spans="1:10" s="22" customFormat="1" ht="45">
      <c r="A135" s="37">
        <v>9</v>
      </c>
      <c r="B135" s="62" t="s">
        <v>89</v>
      </c>
      <c r="C135" s="80" t="s">
        <v>187</v>
      </c>
      <c r="D135" s="99">
        <v>5500</v>
      </c>
      <c r="E135" s="99"/>
      <c r="F135" s="20">
        <f t="shared" si="19"/>
        <v>5500</v>
      </c>
      <c r="G135" s="99">
        <v>5500</v>
      </c>
      <c r="H135" s="99"/>
      <c r="I135" s="99"/>
      <c r="J135" s="99"/>
    </row>
    <row r="136" spans="1:10" s="22" customFormat="1" ht="15">
      <c r="A136" s="37">
        <v>10</v>
      </c>
      <c r="B136" s="62" t="s">
        <v>89</v>
      </c>
      <c r="C136" s="80" t="s">
        <v>188</v>
      </c>
      <c r="D136" s="99">
        <v>5500</v>
      </c>
      <c r="E136" s="99"/>
      <c r="F136" s="20">
        <f t="shared" si="19"/>
        <v>5500</v>
      </c>
      <c r="G136" s="99">
        <v>5500</v>
      </c>
      <c r="H136" s="99"/>
      <c r="I136" s="99"/>
      <c r="J136" s="99"/>
    </row>
    <row r="137" spans="1:10" s="22" customFormat="1" ht="30">
      <c r="A137" s="37">
        <v>11</v>
      </c>
      <c r="B137" s="62" t="s">
        <v>89</v>
      </c>
      <c r="C137" s="80" t="s">
        <v>189</v>
      </c>
      <c r="D137" s="99">
        <v>7500</v>
      </c>
      <c r="E137" s="99"/>
      <c r="F137" s="20">
        <f t="shared" si="19"/>
        <v>7500</v>
      </c>
      <c r="G137" s="99">
        <v>7500</v>
      </c>
      <c r="H137" s="99"/>
      <c r="I137" s="99"/>
      <c r="J137" s="99"/>
    </row>
    <row r="138" spans="1:10" s="22" customFormat="1" ht="30">
      <c r="A138" s="37">
        <v>12</v>
      </c>
      <c r="B138" s="62" t="s">
        <v>89</v>
      </c>
      <c r="C138" s="80" t="s">
        <v>190</v>
      </c>
      <c r="D138" s="99">
        <v>7500</v>
      </c>
      <c r="E138" s="99"/>
      <c r="F138" s="20">
        <f t="shared" si="19"/>
        <v>7500</v>
      </c>
      <c r="G138" s="99">
        <v>7500</v>
      </c>
      <c r="H138" s="99"/>
      <c r="I138" s="99"/>
      <c r="J138" s="99"/>
    </row>
    <row r="139" spans="1:10" s="22" customFormat="1" ht="30">
      <c r="A139" s="37">
        <v>13</v>
      </c>
      <c r="B139" s="62" t="s">
        <v>89</v>
      </c>
      <c r="C139" s="80" t="s">
        <v>191</v>
      </c>
      <c r="D139" s="99">
        <v>4000</v>
      </c>
      <c r="E139" s="99"/>
      <c r="F139" s="20">
        <f t="shared" si="19"/>
        <v>4000</v>
      </c>
      <c r="G139" s="99">
        <v>4000</v>
      </c>
      <c r="H139" s="99"/>
      <c r="I139" s="99"/>
      <c r="J139" s="99"/>
    </row>
    <row r="140" spans="1:10" s="22" customFormat="1" ht="30">
      <c r="A140" s="37">
        <v>14</v>
      </c>
      <c r="B140" s="62" t="s">
        <v>89</v>
      </c>
      <c r="C140" s="80" t="s">
        <v>192</v>
      </c>
      <c r="D140" s="99">
        <v>3000</v>
      </c>
      <c r="E140" s="99"/>
      <c r="F140" s="20">
        <f t="shared" si="19"/>
        <v>3000</v>
      </c>
      <c r="G140" s="99">
        <v>3000</v>
      </c>
      <c r="H140" s="99"/>
      <c r="I140" s="99"/>
      <c r="J140" s="99"/>
    </row>
    <row r="141" spans="1:10" s="22" customFormat="1" ht="30">
      <c r="A141" s="37">
        <v>15</v>
      </c>
      <c r="B141" s="62" t="s">
        <v>89</v>
      </c>
      <c r="C141" s="80" t="s">
        <v>193</v>
      </c>
      <c r="D141" s="99">
        <v>3000</v>
      </c>
      <c r="E141" s="99"/>
      <c r="F141" s="20">
        <f t="shared" si="19"/>
        <v>3000</v>
      </c>
      <c r="G141" s="99">
        <v>3000</v>
      </c>
      <c r="H141" s="99"/>
      <c r="I141" s="99"/>
      <c r="J141" s="99"/>
    </row>
    <row r="142" spans="1:10" s="22" customFormat="1" ht="30">
      <c r="A142" s="37">
        <v>16</v>
      </c>
      <c r="B142" s="62" t="s">
        <v>89</v>
      </c>
      <c r="C142" s="80" t="s">
        <v>194</v>
      </c>
      <c r="D142" s="99">
        <v>4000</v>
      </c>
      <c r="E142" s="99"/>
      <c r="F142" s="20">
        <f t="shared" si="19"/>
        <v>4000</v>
      </c>
      <c r="G142" s="99">
        <v>4000</v>
      </c>
      <c r="H142" s="99"/>
      <c r="I142" s="99"/>
      <c r="J142" s="99"/>
    </row>
    <row r="143" spans="1:10" s="22" customFormat="1" ht="30">
      <c r="A143" s="37">
        <v>17</v>
      </c>
      <c r="B143" s="62" t="s">
        <v>89</v>
      </c>
      <c r="C143" s="80" t="s">
        <v>195</v>
      </c>
      <c r="D143" s="99">
        <v>30000</v>
      </c>
      <c r="E143" s="99"/>
      <c r="F143" s="20">
        <f t="shared" si="19"/>
        <v>30000</v>
      </c>
      <c r="G143" s="99">
        <v>30000</v>
      </c>
      <c r="H143" s="99"/>
      <c r="I143" s="99"/>
      <c r="J143" s="99"/>
    </row>
    <row r="144" spans="1:10" ht="30">
      <c r="A144" s="95"/>
      <c r="B144" s="96">
        <v>67</v>
      </c>
      <c r="C144" s="97" t="s">
        <v>88</v>
      </c>
      <c r="D144" s="98">
        <f aca="true" t="shared" si="20" ref="D144:J144">SUM(D145:D150)</f>
        <v>150000</v>
      </c>
      <c r="E144" s="98">
        <f t="shared" si="20"/>
        <v>0</v>
      </c>
      <c r="F144" s="98">
        <f t="shared" si="20"/>
        <v>150000</v>
      </c>
      <c r="G144" s="98">
        <f t="shared" si="20"/>
        <v>150000</v>
      </c>
      <c r="H144" s="98">
        <f t="shared" si="20"/>
        <v>0</v>
      </c>
      <c r="I144" s="98"/>
      <c r="J144" s="98">
        <f t="shared" si="20"/>
        <v>0</v>
      </c>
    </row>
    <row r="145" spans="1:10" s="22" customFormat="1" ht="15">
      <c r="A145" s="50">
        <v>1</v>
      </c>
      <c r="B145" s="62" t="s">
        <v>89</v>
      </c>
      <c r="C145" s="102" t="s">
        <v>90</v>
      </c>
      <c r="D145" s="103">
        <v>0</v>
      </c>
      <c r="E145" s="103"/>
      <c r="F145" s="20">
        <f aca="true" t="shared" si="21" ref="F145:F150">D145+E145</f>
        <v>0</v>
      </c>
      <c r="G145" s="103">
        <f>50000-50000</f>
        <v>0</v>
      </c>
      <c r="H145" s="99"/>
      <c r="I145" s="99"/>
      <c r="J145" s="99"/>
    </row>
    <row r="146" spans="1:10" s="22" customFormat="1" ht="15">
      <c r="A146" s="50">
        <v>2</v>
      </c>
      <c r="B146" s="62" t="s">
        <v>89</v>
      </c>
      <c r="C146" s="102" t="s">
        <v>91</v>
      </c>
      <c r="D146" s="103">
        <v>0</v>
      </c>
      <c r="E146" s="103"/>
      <c r="F146" s="20">
        <f t="shared" si="21"/>
        <v>0</v>
      </c>
      <c r="G146" s="103">
        <f>10000-10000</f>
        <v>0</v>
      </c>
      <c r="H146" s="99"/>
      <c r="I146" s="99"/>
      <c r="J146" s="99"/>
    </row>
    <row r="147" spans="1:10" s="22" customFormat="1" ht="16.5">
      <c r="A147" s="50">
        <v>3</v>
      </c>
      <c r="B147" s="62" t="s">
        <v>89</v>
      </c>
      <c r="C147" s="124" t="s">
        <v>126</v>
      </c>
      <c r="D147" s="103">
        <v>32000</v>
      </c>
      <c r="E147" s="103"/>
      <c r="F147" s="20">
        <f t="shared" si="21"/>
        <v>32000</v>
      </c>
      <c r="G147" s="103">
        <v>32000</v>
      </c>
      <c r="H147" s="99"/>
      <c r="I147" s="99"/>
      <c r="J147" s="99"/>
    </row>
    <row r="148" spans="1:10" s="22" customFormat="1" ht="16.5">
      <c r="A148" s="50">
        <v>4</v>
      </c>
      <c r="B148" s="62" t="s">
        <v>89</v>
      </c>
      <c r="C148" s="124" t="s">
        <v>127</v>
      </c>
      <c r="D148" s="103">
        <v>0</v>
      </c>
      <c r="E148" s="103"/>
      <c r="F148" s="20">
        <f t="shared" si="21"/>
        <v>0</v>
      </c>
      <c r="G148" s="103">
        <f>58000-58000</f>
        <v>0</v>
      </c>
      <c r="H148" s="99"/>
      <c r="I148" s="99"/>
      <c r="J148" s="99"/>
    </row>
    <row r="149" spans="1:10" s="22" customFormat="1" ht="15">
      <c r="A149" s="50">
        <v>5</v>
      </c>
      <c r="B149" s="62" t="s">
        <v>89</v>
      </c>
      <c r="C149" s="102" t="s">
        <v>217</v>
      </c>
      <c r="D149" s="103">
        <v>55000</v>
      </c>
      <c r="E149" s="103"/>
      <c r="F149" s="20">
        <f t="shared" si="21"/>
        <v>55000</v>
      </c>
      <c r="G149" s="103">
        <v>55000</v>
      </c>
      <c r="H149" s="99"/>
      <c r="I149" s="99"/>
      <c r="J149" s="99"/>
    </row>
    <row r="150" spans="1:10" s="22" customFormat="1" ht="16.5">
      <c r="A150" s="50">
        <v>6</v>
      </c>
      <c r="B150" s="62" t="s">
        <v>89</v>
      </c>
      <c r="C150" s="124" t="s">
        <v>218</v>
      </c>
      <c r="D150" s="103">
        <v>63000</v>
      </c>
      <c r="E150" s="103"/>
      <c r="F150" s="20">
        <f t="shared" si="21"/>
        <v>63000</v>
      </c>
      <c r="G150" s="103">
        <v>63000</v>
      </c>
      <c r="H150" s="99"/>
      <c r="I150" s="99"/>
      <c r="J150" s="99"/>
    </row>
    <row r="151" spans="1:10" ht="15">
      <c r="A151" s="104"/>
      <c r="B151" s="96">
        <v>67</v>
      </c>
      <c r="C151" s="87" t="s">
        <v>92</v>
      </c>
      <c r="D151" s="77">
        <f>SUM(D152)</f>
        <v>3000</v>
      </c>
      <c r="E151" s="77">
        <f>SUM(E152)</f>
        <v>0</v>
      </c>
      <c r="F151" s="77">
        <f>SUM(F152)</f>
        <v>3000</v>
      </c>
      <c r="G151" s="77">
        <f>G152</f>
        <v>3000</v>
      </c>
      <c r="H151" s="77">
        <f>H152</f>
        <v>0</v>
      </c>
      <c r="I151" s="77"/>
      <c r="J151" s="77">
        <f>J152</f>
        <v>0</v>
      </c>
    </row>
    <row r="152" spans="1:10" ht="15">
      <c r="A152" s="66" t="s">
        <v>46</v>
      </c>
      <c r="B152" s="67" t="s">
        <v>89</v>
      </c>
      <c r="C152" s="14" t="s">
        <v>93</v>
      </c>
      <c r="D152" s="33">
        <v>3000</v>
      </c>
      <c r="E152" s="33"/>
      <c r="F152" s="20">
        <f>D152+E152</f>
        <v>3000</v>
      </c>
      <c r="G152" s="33">
        <v>3000</v>
      </c>
      <c r="H152" s="33"/>
      <c r="I152" s="33"/>
      <c r="J152" s="33"/>
    </row>
    <row r="153" spans="1:10" ht="45">
      <c r="A153" s="105"/>
      <c r="B153" s="96">
        <v>67</v>
      </c>
      <c r="C153" s="87" t="s">
        <v>94</v>
      </c>
      <c r="D153" s="77">
        <f aca="true" t="shared" si="22" ref="D153:J153">SUM(D154:D156)</f>
        <v>19000</v>
      </c>
      <c r="E153" s="77">
        <f t="shared" si="22"/>
        <v>0</v>
      </c>
      <c r="F153" s="77">
        <f t="shared" si="22"/>
        <v>19000</v>
      </c>
      <c r="G153" s="77">
        <f t="shared" si="22"/>
        <v>19000</v>
      </c>
      <c r="H153" s="77">
        <f t="shared" si="22"/>
        <v>0</v>
      </c>
      <c r="I153" s="77"/>
      <c r="J153" s="77">
        <f t="shared" si="22"/>
        <v>0</v>
      </c>
    </row>
    <row r="154" spans="1:10" ht="15">
      <c r="A154" s="66" t="s">
        <v>46</v>
      </c>
      <c r="B154" s="67" t="s">
        <v>89</v>
      </c>
      <c r="C154" s="14" t="s">
        <v>93</v>
      </c>
      <c r="D154" s="33">
        <v>5000</v>
      </c>
      <c r="E154" s="33">
        <v>-1000</v>
      </c>
      <c r="F154" s="20">
        <f>D154+E154</f>
        <v>4000</v>
      </c>
      <c r="G154" s="33">
        <f>5000-1000</f>
        <v>4000</v>
      </c>
      <c r="H154" s="93"/>
      <c r="I154" s="93"/>
      <c r="J154" s="93"/>
    </row>
    <row r="155" spans="1:10" ht="15">
      <c r="A155" s="66" t="s">
        <v>97</v>
      </c>
      <c r="B155" s="67" t="s">
        <v>89</v>
      </c>
      <c r="C155" s="14" t="s">
        <v>197</v>
      </c>
      <c r="D155" s="33">
        <v>9000</v>
      </c>
      <c r="E155" s="33"/>
      <c r="F155" s="20">
        <f>D155+E155</f>
        <v>9000</v>
      </c>
      <c r="G155" s="33">
        <v>9000</v>
      </c>
      <c r="H155" s="93"/>
      <c r="I155" s="93"/>
      <c r="J155" s="33"/>
    </row>
    <row r="156" spans="1:10" ht="30">
      <c r="A156" s="66" t="s">
        <v>196</v>
      </c>
      <c r="B156" s="67" t="s">
        <v>89</v>
      </c>
      <c r="C156" s="14" t="s">
        <v>198</v>
      </c>
      <c r="D156" s="33">
        <v>5000</v>
      </c>
      <c r="E156" s="33">
        <v>1000</v>
      </c>
      <c r="F156" s="20">
        <f>D156+E156</f>
        <v>6000</v>
      </c>
      <c r="G156" s="33">
        <f>5000+1000</f>
        <v>6000</v>
      </c>
      <c r="H156" s="93"/>
      <c r="I156" s="93"/>
      <c r="J156" s="33"/>
    </row>
    <row r="157" spans="1:10" ht="15">
      <c r="A157" s="106"/>
      <c r="B157" s="96">
        <v>67</v>
      </c>
      <c r="C157" s="87" t="s">
        <v>95</v>
      </c>
      <c r="D157" s="98">
        <f>SUM(D158:D159)</f>
        <v>20000</v>
      </c>
      <c r="E157" s="98">
        <f>SUM(E158:E159)</f>
        <v>0</v>
      </c>
      <c r="F157" s="98">
        <f>SUM(F158:F159)</f>
        <v>20000</v>
      </c>
      <c r="G157" s="98">
        <f>SUM(G158:G159)</f>
        <v>20000</v>
      </c>
      <c r="H157" s="98"/>
      <c r="I157" s="98"/>
      <c r="J157" s="98"/>
    </row>
    <row r="158" spans="1:10" s="22" customFormat="1" ht="15">
      <c r="A158" s="66" t="s">
        <v>46</v>
      </c>
      <c r="B158" s="67" t="s">
        <v>89</v>
      </c>
      <c r="C158" s="14" t="s">
        <v>96</v>
      </c>
      <c r="D158" s="101">
        <v>10000</v>
      </c>
      <c r="E158" s="101"/>
      <c r="F158" s="20">
        <f>D158+E158</f>
        <v>10000</v>
      </c>
      <c r="G158" s="101">
        <v>10000</v>
      </c>
      <c r="H158" s="99"/>
      <c r="I158" s="99"/>
      <c r="J158" s="99"/>
    </row>
    <row r="159" spans="1:10" s="22" customFormat="1" ht="15">
      <c r="A159" s="66" t="s">
        <v>97</v>
      </c>
      <c r="B159" s="67" t="s">
        <v>89</v>
      </c>
      <c r="C159" s="107" t="s">
        <v>98</v>
      </c>
      <c r="D159" s="101">
        <v>10000</v>
      </c>
      <c r="E159" s="101"/>
      <c r="F159" s="20">
        <f>D159+E159</f>
        <v>10000</v>
      </c>
      <c r="G159" s="101">
        <v>10000</v>
      </c>
      <c r="H159" s="99"/>
      <c r="I159" s="99"/>
      <c r="J159" s="99"/>
    </row>
    <row r="160" spans="1:10" s="22" customFormat="1" ht="15">
      <c r="A160" s="87"/>
      <c r="B160" s="87">
        <v>67</v>
      </c>
      <c r="C160" s="87" t="s">
        <v>124</v>
      </c>
      <c r="D160" s="125">
        <f aca="true" t="shared" si="23" ref="D160:J160">D161</f>
        <v>426000</v>
      </c>
      <c r="E160" s="125">
        <f t="shared" si="23"/>
        <v>0</v>
      </c>
      <c r="F160" s="125">
        <f t="shared" si="23"/>
        <v>426000</v>
      </c>
      <c r="G160" s="125">
        <f t="shared" si="23"/>
        <v>426000</v>
      </c>
      <c r="H160" s="125">
        <f t="shared" si="23"/>
        <v>0</v>
      </c>
      <c r="I160" s="125"/>
      <c r="J160" s="125">
        <f t="shared" si="23"/>
        <v>0</v>
      </c>
    </row>
    <row r="161" spans="1:10" s="22" customFormat="1" ht="45">
      <c r="A161" s="66" t="s">
        <v>46</v>
      </c>
      <c r="B161" s="67" t="s">
        <v>81</v>
      </c>
      <c r="C161" s="80" t="s">
        <v>125</v>
      </c>
      <c r="D161" s="101">
        <v>426000</v>
      </c>
      <c r="E161" s="101"/>
      <c r="F161" s="20">
        <f>E161+D161</f>
        <v>426000</v>
      </c>
      <c r="G161" s="20">
        <v>426000</v>
      </c>
      <c r="H161" s="20"/>
      <c r="I161" s="20"/>
      <c r="J161" s="20"/>
    </row>
    <row r="162" spans="1:10" ht="45">
      <c r="A162" s="68"/>
      <c r="B162" s="69">
        <v>68</v>
      </c>
      <c r="C162" s="12" t="s">
        <v>99</v>
      </c>
      <c r="D162" s="108">
        <f aca="true" t="shared" si="24" ref="D162:J162">D165+D169+D173+D176</f>
        <v>546000</v>
      </c>
      <c r="E162" s="108">
        <f t="shared" si="24"/>
        <v>0</v>
      </c>
      <c r="F162" s="108">
        <f t="shared" si="24"/>
        <v>546000</v>
      </c>
      <c r="G162" s="108">
        <f t="shared" si="24"/>
        <v>546000</v>
      </c>
      <c r="H162" s="108">
        <f t="shared" si="24"/>
        <v>0</v>
      </c>
      <c r="I162" s="108"/>
      <c r="J162" s="108">
        <f t="shared" si="24"/>
        <v>0</v>
      </c>
    </row>
    <row r="163" spans="1:10" s="22" customFormat="1" ht="15">
      <c r="A163" s="37">
        <v>1</v>
      </c>
      <c r="B163" s="27" t="s">
        <v>100</v>
      </c>
      <c r="C163" s="109" t="s">
        <v>101</v>
      </c>
      <c r="D163" s="54">
        <v>53000</v>
      </c>
      <c r="E163" s="54"/>
      <c r="F163" s="20">
        <f>D163+E163</f>
        <v>53000</v>
      </c>
      <c r="G163" s="54">
        <f>60000-7000</f>
        <v>53000</v>
      </c>
      <c r="H163" s="109"/>
      <c r="I163" s="109"/>
      <c r="J163" s="109"/>
    </row>
    <row r="164" spans="1:10" s="22" customFormat="1" ht="45">
      <c r="A164" s="37">
        <v>2</v>
      </c>
      <c r="B164" s="62" t="s">
        <v>100</v>
      </c>
      <c r="C164" s="109" t="s">
        <v>102</v>
      </c>
      <c r="D164" s="54">
        <v>26000</v>
      </c>
      <c r="E164" s="54"/>
      <c r="F164" s="20">
        <f>D164+E164</f>
        <v>26000</v>
      </c>
      <c r="G164" s="82">
        <f>26000</f>
        <v>26000</v>
      </c>
      <c r="H164" s="80"/>
      <c r="I164" s="80"/>
      <c r="J164" s="80"/>
    </row>
    <row r="165" spans="1:10" s="22" customFormat="1" ht="15">
      <c r="A165" s="110"/>
      <c r="B165" s="110"/>
      <c r="C165" s="111" t="s">
        <v>103</v>
      </c>
      <c r="D165" s="112">
        <f>SUM(D163:D164)</f>
        <v>79000</v>
      </c>
      <c r="E165" s="112">
        <f>SUM(E163:E164)</f>
        <v>0</v>
      </c>
      <c r="F165" s="112">
        <f>SUM(F163:F164)</f>
        <v>79000</v>
      </c>
      <c r="G165" s="112">
        <f>SUM(G163:G164)</f>
        <v>79000</v>
      </c>
      <c r="H165" s="113"/>
      <c r="I165" s="113"/>
      <c r="J165" s="113"/>
    </row>
    <row r="166" spans="1:10" s="22" customFormat="1" ht="45">
      <c r="A166" s="37">
        <v>1</v>
      </c>
      <c r="B166" s="62" t="s">
        <v>104</v>
      </c>
      <c r="C166" s="83" t="s">
        <v>105</v>
      </c>
      <c r="D166" s="82">
        <v>154700</v>
      </c>
      <c r="E166" s="82"/>
      <c r="F166" s="20">
        <f>D166+E166</f>
        <v>154700</v>
      </c>
      <c r="G166" s="114">
        <f>180000-25300</f>
        <v>154700</v>
      </c>
      <c r="H166" s="80"/>
      <c r="I166" s="80"/>
      <c r="J166" s="80"/>
    </row>
    <row r="167" spans="1:10" s="22" customFormat="1" ht="30">
      <c r="A167" s="37">
        <v>2</v>
      </c>
      <c r="B167" s="62" t="s">
        <v>104</v>
      </c>
      <c r="C167" s="80" t="s">
        <v>132</v>
      </c>
      <c r="D167" s="82">
        <v>60000</v>
      </c>
      <c r="E167" s="82"/>
      <c r="F167" s="20">
        <f>D167+E167</f>
        <v>60000</v>
      </c>
      <c r="G167" s="114">
        <f>60000</f>
        <v>60000</v>
      </c>
      <c r="H167" s="80"/>
      <c r="I167" s="80"/>
      <c r="J167" s="80"/>
    </row>
    <row r="168" spans="1:10" s="22" customFormat="1" ht="30">
      <c r="A168" s="37">
        <v>3</v>
      </c>
      <c r="B168" s="62" t="s">
        <v>104</v>
      </c>
      <c r="C168" s="80" t="s">
        <v>199</v>
      </c>
      <c r="D168" s="82">
        <v>5300</v>
      </c>
      <c r="E168" s="82"/>
      <c r="F168" s="20">
        <f>D168+E168</f>
        <v>5300</v>
      </c>
      <c r="G168" s="82">
        <v>5300</v>
      </c>
      <c r="H168" s="80"/>
      <c r="I168" s="80"/>
      <c r="J168" s="80"/>
    </row>
    <row r="169" spans="1:10" s="70" customFormat="1" ht="15">
      <c r="A169" s="115"/>
      <c r="B169" s="110"/>
      <c r="C169" s="111" t="s">
        <v>106</v>
      </c>
      <c r="D169" s="112">
        <f aca="true" t="shared" si="25" ref="D169:J169">SUM(D166:D168)</f>
        <v>220000</v>
      </c>
      <c r="E169" s="112">
        <f t="shared" si="25"/>
        <v>0</v>
      </c>
      <c r="F169" s="112">
        <f t="shared" si="25"/>
        <v>220000</v>
      </c>
      <c r="G169" s="112">
        <f t="shared" si="25"/>
        <v>220000</v>
      </c>
      <c r="H169" s="112">
        <f t="shared" si="25"/>
        <v>0</v>
      </c>
      <c r="I169" s="112"/>
      <c r="J169" s="112">
        <f t="shared" si="25"/>
        <v>0</v>
      </c>
    </row>
    <row r="170" spans="1:10" s="70" customFormat="1" ht="45">
      <c r="A170" s="37">
        <v>1</v>
      </c>
      <c r="B170" s="62" t="s">
        <v>107</v>
      </c>
      <c r="C170" s="80" t="s">
        <v>108</v>
      </c>
      <c r="D170" s="82">
        <v>10000</v>
      </c>
      <c r="E170" s="82"/>
      <c r="F170" s="20">
        <f>D170+E170</f>
        <v>10000</v>
      </c>
      <c r="G170" s="82">
        <f>20000-10000</f>
        <v>10000</v>
      </c>
      <c r="H170" s="80"/>
      <c r="I170" s="80"/>
      <c r="J170" s="80"/>
    </row>
    <row r="171" spans="1:10" s="70" customFormat="1" ht="45">
      <c r="A171" s="37">
        <v>2</v>
      </c>
      <c r="B171" s="62" t="s">
        <v>107</v>
      </c>
      <c r="C171" s="114" t="s">
        <v>109</v>
      </c>
      <c r="D171" s="82">
        <v>90000</v>
      </c>
      <c r="E171" s="82"/>
      <c r="F171" s="20">
        <f>D171+E171</f>
        <v>90000</v>
      </c>
      <c r="G171" s="116">
        <f>90000</f>
        <v>90000</v>
      </c>
      <c r="H171" s="80"/>
      <c r="I171" s="80"/>
      <c r="J171" s="80"/>
    </row>
    <row r="172" spans="1:10" s="70" customFormat="1" ht="150">
      <c r="A172" s="37">
        <v>3</v>
      </c>
      <c r="B172" s="62" t="s">
        <v>107</v>
      </c>
      <c r="C172" s="114" t="s">
        <v>147</v>
      </c>
      <c r="D172" s="82">
        <v>30000</v>
      </c>
      <c r="E172" s="82"/>
      <c r="F172" s="20">
        <f>D172+E172</f>
        <v>30000</v>
      </c>
      <c r="G172" s="116">
        <f>10000+20000</f>
        <v>30000</v>
      </c>
      <c r="H172" s="80"/>
      <c r="I172" s="80"/>
      <c r="J172" s="80"/>
    </row>
    <row r="173" spans="1:10" s="70" customFormat="1" ht="15">
      <c r="A173" s="117"/>
      <c r="B173" s="118"/>
      <c r="C173" s="119" t="s">
        <v>110</v>
      </c>
      <c r="D173" s="119">
        <f aca="true" t="shared" si="26" ref="D173:J173">SUM(D170:D172)</f>
        <v>130000</v>
      </c>
      <c r="E173" s="119">
        <f t="shared" si="26"/>
        <v>0</v>
      </c>
      <c r="F173" s="119">
        <f t="shared" si="26"/>
        <v>130000</v>
      </c>
      <c r="G173" s="119">
        <f t="shared" si="26"/>
        <v>130000</v>
      </c>
      <c r="H173" s="119">
        <f t="shared" si="26"/>
        <v>0</v>
      </c>
      <c r="I173" s="119"/>
      <c r="J173" s="119">
        <f t="shared" si="26"/>
        <v>0</v>
      </c>
    </row>
    <row r="174" spans="1:10" s="70" customFormat="1" ht="15">
      <c r="A174" s="43">
        <v>1</v>
      </c>
      <c r="B174" s="27" t="s">
        <v>107</v>
      </c>
      <c r="C174" s="80" t="s">
        <v>133</v>
      </c>
      <c r="D174" s="126">
        <v>110000</v>
      </c>
      <c r="E174" s="126"/>
      <c r="F174" s="126">
        <f>E174+D174</f>
        <v>110000</v>
      </c>
      <c r="G174" s="126">
        <v>110000</v>
      </c>
      <c r="H174" s="126"/>
      <c r="I174" s="126"/>
      <c r="J174" s="126"/>
    </row>
    <row r="175" spans="1:10" s="70" customFormat="1" ht="15">
      <c r="A175" s="43">
        <v>2</v>
      </c>
      <c r="B175" s="27" t="s">
        <v>107</v>
      </c>
      <c r="C175" s="80" t="s">
        <v>146</v>
      </c>
      <c r="D175" s="54">
        <v>7000</v>
      </c>
      <c r="E175" s="54"/>
      <c r="F175" s="54">
        <f>E175+D175</f>
        <v>7000</v>
      </c>
      <c r="G175" s="54">
        <v>7000</v>
      </c>
      <c r="H175" s="126"/>
      <c r="I175" s="126"/>
      <c r="J175" s="126"/>
    </row>
    <row r="176" spans="1:10" s="70" customFormat="1" ht="15">
      <c r="A176" s="117"/>
      <c r="B176" s="118"/>
      <c r="C176" s="119" t="s">
        <v>134</v>
      </c>
      <c r="D176" s="119">
        <f aca="true" t="shared" si="27" ref="D176:J176">SUM(D174:D175)</f>
        <v>117000</v>
      </c>
      <c r="E176" s="119">
        <f t="shared" si="27"/>
        <v>0</v>
      </c>
      <c r="F176" s="119">
        <f t="shared" si="27"/>
        <v>117000</v>
      </c>
      <c r="G176" s="119">
        <f t="shared" si="27"/>
        <v>117000</v>
      </c>
      <c r="H176" s="119">
        <f t="shared" si="27"/>
        <v>0</v>
      </c>
      <c r="I176" s="119"/>
      <c r="J176" s="119">
        <f t="shared" si="27"/>
        <v>0</v>
      </c>
    </row>
    <row r="177" spans="1:10" s="70" customFormat="1" ht="15">
      <c r="A177" s="58"/>
      <c r="B177" s="59" t="s">
        <v>200</v>
      </c>
      <c r="C177" s="65" t="s">
        <v>202</v>
      </c>
      <c r="D177" s="108">
        <f aca="true" t="shared" si="28" ref="D177:J177">SUM(D178:D178)</f>
        <v>80000</v>
      </c>
      <c r="E177" s="108">
        <f t="shared" si="28"/>
        <v>0</v>
      </c>
      <c r="F177" s="108">
        <f t="shared" si="28"/>
        <v>80000</v>
      </c>
      <c r="G177" s="108">
        <f t="shared" si="28"/>
        <v>80000</v>
      </c>
      <c r="H177" s="108">
        <f t="shared" si="28"/>
        <v>0</v>
      </c>
      <c r="I177" s="108"/>
      <c r="J177" s="108">
        <f t="shared" si="28"/>
        <v>0</v>
      </c>
    </row>
    <row r="178" spans="1:10" s="70" customFormat="1" ht="15">
      <c r="A178" s="43">
        <v>1</v>
      </c>
      <c r="B178" s="27" t="s">
        <v>201</v>
      </c>
      <c r="C178" s="80" t="s">
        <v>153</v>
      </c>
      <c r="D178" s="54">
        <v>80000</v>
      </c>
      <c r="E178" s="54"/>
      <c r="F178" s="54">
        <f>E178+D178</f>
        <v>80000</v>
      </c>
      <c r="G178" s="54">
        <v>80000</v>
      </c>
      <c r="H178" s="126"/>
      <c r="I178" s="126"/>
      <c r="J178" s="126"/>
    </row>
    <row r="179" spans="1:10" s="70" customFormat="1" ht="30">
      <c r="A179" s="58"/>
      <c r="B179" s="59" t="s">
        <v>111</v>
      </c>
      <c r="C179" s="65" t="s">
        <v>112</v>
      </c>
      <c r="D179" s="108">
        <f aca="true" t="shared" si="29" ref="D179:J179">SUM(D180:D189)</f>
        <v>3050000</v>
      </c>
      <c r="E179" s="108">
        <f t="shared" si="29"/>
        <v>0</v>
      </c>
      <c r="F179" s="108">
        <f t="shared" si="29"/>
        <v>3050000</v>
      </c>
      <c r="G179" s="108">
        <f t="shared" si="29"/>
        <v>3050000</v>
      </c>
      <c r="H179" s="108">
        <f t="shared" si="29"/>
        <v>0</v>
      </c>
      <c r="I179" s="108"/>
      <c r="J179" s="108">
        <f t="shared" si="29"/>
        <v>0</v>
      </c>
    </row>
    <row r="180" spans="1:10" s="70" customFormat="1" ht="15">
      <c r="A180" s="14">
        <v>1</v>
      </c>
      <c r="B180" s="62" t="s">
        <v>37</v>
      </c>
      <c r="C180" s="114" t="s">
        <v>113</v>
      </c>
      <c r="D180" s="101">
        <v>130000</v>
      </c>
      <c r="E180" s="101"/>
      <c r="F180" s="20">
        <f>D180+E180</f>
        <v>130000</v>
      </c>
      <c r="G180" s="33">
        <v>130000</v>
      </c>
      <c r="H180" s="33">
        <v>0</v>
      </c>
      <c r="I180" s="33"/>
      <c r="J180" s="33">
        <v>0</v>
      </c>
    </row>
    <row r="181" spans="1:10" s="70" customFormat="1" ht="45">
      <c r="A181" s="14">
        <v>2</v>
      </c>
      <c r="B181" s="62" t="s">
        <v>39</v>
      </c>
      <c r="C181" s="102" t="s">
        <v>114</v>
      </c>
      <c r="D181" s="33">
        <v>0</v>
      </c>
      <c r="E181" s="33"/>
      <c r="F181" s="20">
        <f>D181+E181</f>
        <v>0</v>
      </c>
      <c r="G181" s="33">
        <f>1470000-1470000</f>
        <v>0</v>
      </c>
      <c r="H181" s="33"/>
      <c r="I181" s="33"/>
      <c r="J181" s="33"/>
    </row>
    <row r="182" spans="1:10" s="70" customFormat="1" ht="45">
      <c r="A182" s="14">
        <v>3</v>
      </c>
      <c r="B182" s="35" t="s">
        <v>39</v>
      </c>
      <c r="C182" s="109" t="s">
        <v>115</v>
      </c>
      <c r="D182" s="33">
        <v>900000</v>
      </c>
      <c r="E182" s="33"/>
      <c r="F182" s="20">
        <f>D182+E182</f>
        <v>900000</v>
      </c>
      <c r="G182" s="33">
        <v>900000</v>
      </c>
      <c r="H182" s="33"/>
      <c r="I182" s="33"/>
      <c r="J182" s="33"/>
    </row>
    <row r="183" spans="1:10" s="70" customFormat="1" ht="15">
      <c r="A183" s="14">
        <v>4</v>
      </c>
      <c r="B183" s="35" t="s">
        <v>37</v>
      </c>
      <c r="C183" s="109" t="s">
        <v>203</v>
      </c>
      <c r="D183" s="33">
        <v>160000</v>
      </c>
      <c r="E183" s="33"/>
      <c r="F183" s="20">
        <f aca="true" t="shared" si="30" ref="F183:F189">D183+E183</f>
        <v>160000</v>
      </c>
      <c r="G183" s="33">
        <v>160000</v>
      </c>
      <c r="H183" s="33"/>
      <c r="I183" s="33"/>
      <c r="J183" s="33"/>
    </row>
    <row r="184" spans="1:10" s="70" customFormat="1" ht="15">
      <c r="A184" s="14">
        <v>5</v>
      </c>
      <c r="B184" s="35" t="s">
        <v>37</v>
      </c>
      <c r="C184" s="109" t="s">
        <v>204</v>
      </c>
      <c r="D184" s="33">
        <v>85000</v>
      </c>
      <c r="E184" s="33"/>
      <c r="F184" s="20">
        <f t="shared" si="30"/>
        <v>85000</v>
      </c>
      <c r="G184" s="33">
        <v>85000</v>
      </c>
      <c r="H184" s="33"/>
      <c r="I184" s="33"/>
      <c r="J184" s="33"/>
    </row>
    <row r="185" spans="1:10" s="70" customFormat="1" ht="45">
      <c r="A185" s="14">
        <v>6</v>
      </c>
      <c r="B185" s="35" t="s">
        <v>37</v>
      </c>
      <c r="C185" s="109" t="s">
        <v>205</v>
      </c>
      <c r="D185" s="33">
        <v>20000</v>
      </c>
      <c r="E185" s="33"/>
      <c r="F185" s="20">
        <f t="shared" si="30"/>
        <v>20000</v>
      </c>
      <c r="G185" s="33">
        <v>20000</v>
      </c>
      <c r="H185" s="33"/>
      <c r="I185" s="33"/>
      <c r="J185" s="33"/>
    </row>
    <row r="186" spans="1:10" s="70" customFormat="1" ht="30">
      <c r="A186" s="14">
        <v>7</v>
      </c>
      <c r="B186" s="35" t="s">
        <v>37</v>
      </c>
      <c r="C186" s="109" t="s">
        <v>206</v>
      </c>
      <c r="D186" s="33">
        <v>115000</v>
      </c>
      <c r="E186" s="33"/>
      <c r="F186" s="20">
        <f t="shared" si="30"/>
        <v>115000</v>
      </c>
      <c r="G186" s="33">
        <v>115000</v>
      </c>
      <c r="H186" s="33"/>
      <c r="I186" s="33"/>
      <c r="J186" s="33"/>
    </row>
    <row r="187" spans="1:10" s="70" customFormat="1" ht="45">
      <c r="A187" s="14">
        <v>8</v>
      </c>
      <c r="B187" s="35" t="s">
        <v>37</v>
      </c>
      <c r="C187" s="109" t="s">
        <v>207</v>
      </c>
      <c r="D187" s="33">
        <v>10000</v>
      </c>
      <c r="E187" s="33"/>
      <c r="F187" s="20">
        <f t="shared" si="30"/>
        <v>10000</v>
      </c>
      <c r="G187" s="33">
        <v>10000</v>
      </c>
      <c r="H187" s="33"/>
      <c r="I187" s="33"/>
      <c r="J187" s="33"/>
    </row>
    <row r="188" spans="1:10" s="70" customFormat="1" ht="30">
      <c r="A188" s="14">
        <v>9</v>
      </c>
      <c r="B188" s="35" t="s">
        <v>37</v>
      </c>
      <c r="C188" s="109" t="s">
        <v>219</v>
      </c>
      <c r="D188" s="33">
        <v>1470000</v>
      </c>
      <c r="E188" s="33"/>
      <c r="F188" s="20">
        <f t="shared" si="30"/>
        <v>1470000</v>
      </c>
      <c r="G188" s="33">
        <v>1470000</v>
      </c>
      <c r="H188" s="33"/>
      <c r="I188" s="33"/>
      <c r="J188" s="33"/>
    </row>
    <row r="189" spans="1:10" s="70" customFormat="1" ht="90">
      <c r="A189" s="14">
        <v>10</v>
      </c>
      <c r="B189" s="35" t="s">
        <v>37</v>
      </c>
      <c r="C189" s="109" t="s">
        <v>209</v>
      </c>
      <c r="D189" s="33">
        <v>160000</v>
      </c>
      <c r="E189" s="33"/>
      <c r="F189" s="20">
        <f t="shared" si="30"/>
        <v>160000</v>
      </c>
      <c r="G189" s="33">
        <v>160000</v>
      </c>
      <c r="H189" s="33"/>
      <c r="I189" s="33"/>
      <c r="J189" s="33"/>
    </row>
  </sheetData>
  <sheetProtection/>
  <autoFilter ref="A4:J189"/>
  <mergeCells count="7">
    <mergeCell ref="G2:J2"/>
    <mergeCell ref="A2:A3"/>
    <mergeCell ref="B2:B3"/>
    <mergeCell ref="C2:C3"/>
    <mergeCell ref="D2:D3"/>
    <mergeCell ref="E2:E3"/>
    <mergeCell ref="F2:F3"/>
  </mergeCells>
  <printOptions horizontalCentered="1"/>
  <pageMargins left="0.4330708661417323" right="0.2362204724409449" top="1.141732283464567" bottom="0.7480314960629921" header="0.31496062992125984" footer="0.31496062992125984"/>
  <pageSetup horizontalDpi="600" verticalDpi="600" orientation="portrait" paperSize="9" scale="75" r:id="rId1"/>
  <headerFooter>
    <oddHeader>&amp;L&amp;"Trebuchet MS,Aldin"&amp;10ROMÂNIA
JUDEŢUL MUREŞ
CONSILIUL JUDEŢEAN&amp;C&amp;"-,Aldin"
&amp;"Trebuchet MS,Aldin"Programul de investiţii pe anul 2014&amp;R&amp;"Trebuchet MS,Aldin"&amp;10ANEXA nr.7/f la HCJM nr.            /11.12.2014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Monica.curticapean</cp:lastModifiedBy>
  <cp:lastPrinted>2014-12-09T08:27:07Z</cp:lastPrinted>
  <dcterms:created xsi:type="dcterms:W3CDTF">2014-03-18T08:17:07Z</dcterms:created>
  <dcterms:modified xsi:type="dcterms:W3CDTF">2014-12-10T14:36:43Z</dcterms:modified>
  <cp:category/>
  <cp:version/>
  <cp:contentType/>
  <cp:contentStatus/>
</cp:coreProperties>
</file>