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anexa 9 c" sheetId="1" r:id="rId1"/>
    <sheet name="anexa 9 1c" sheetId="2" r:id="rId2"/>
  </sheets>
  <definedNames>
    <definedName name="_xlnm.Print_Titles" localSheetId="1">'anexa 9 1c'!$8:$8</definedName>
    <definedName name="_xlnm.Print_Titles" localSheetId="0">'anexa 9 c'!$2:$2</definedName>
    <definedName name="_xlnm.Print_Area" localSheetId="0">'anexa 9 c'!$A$1:$T$32</definedName>
  </definedNames>
  <calcPr fullCalcOnLoad="1"/>
</workbook>
</file>

<file path=xl/sharedStrings.xml><?xml version="1.0" encoding="utf-8"?>
<sst xmlns="http://schemas.openxmlformats.org/spreadsheetml/2006/main" count="110" uniqueCount="106">
  <si>
    <t>Nr. Crt.</t>
  </si>
  <si>
    <t>Denumire lucrare</t>
  </si>
  <si>
    <t>Asistenţă tehnică proiectant</t>
  </si>
  <si>
    <t>Diverse si neprevazute 10% din val. Inv.</t>
  </si>
  <si>
    <t>Cadastrul drumurilor</t>
  </si>
  <si>
    <t>Studii, cercetări, experimentări</t>
  </si>
  <si>
    <t>Plombări</t>
  </si>
  <si>
    <t>Întreţinere drumuri pietruite</t>
  </si>
  <si>
    <t>Întreţinere comună a tuturor drumurilor</t>
  </si>
  <si>
    <t>Întreţinere curentă pe timp de iarnă a drumurilor</t>
  </si>
  <si>
    <t>Siguranţa rutieră/indicatoare, marcaje, parapeţi</t>
  </si>
  <si>
    <t>Îmbrăcăminţi uşoare rutiere</t>
  </si>
  <si>
    <t>Valoare proiect tehnic+DE</t>
  </si>
  <si>
    <t xml:space="preserve">Diriginte de şantier 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</si>
  <si>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</si>
  <si>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</si>
  <si>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</si>
  <si>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</si>
  <si>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</si>
  <si>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</si>
  <si>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</si>
  <si>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</si>
  <si>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Obiective de investiţii</t>
  </si>
  <si>
    <t>3.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</si>
  <si>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</si>
  <si>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</si>
  <si>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</si>
  <si>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</si>
  <si>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</si>
  <si>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</si>
  <si>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</si>
  <si>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</si>
  <si>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</si>
  <si>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>Reparaţii curente la poduri</t>
  </si>
  <si>
    <t>Lucrări privind reparaţii curente la drumurile publice (1+2+3)</t>
  </si>
  <si>
    <t>TOTAL DRUMURI (CAP.I+II.)</t>
  </si>
  <si>
    <t>Servicii pregătitoare aferente întreţinerii şi reparării drumurilor publice (1+2+3+4)</t>
  </si>
  <si>
    <t>Cost specific executie lei/km  
fara TVA 
(HGR 717/2010)</t>
  </si>
  <si>
    <t>ISC 
(0,7%+
0,1%)</t>
  </si>
  <si>
    <t>TOTAL</t>
  </si>
  <si>
    <t>Plan anual achizitii
fara TVA</t>
  </si>
  <si>
    <t>KM</t>
  </si>
  <si>
    <t>1.</t>
  </si>
  <si>
    <t>CONTRACTE INCHEIATE 
2013
(fără TVA)</t>
  </si>
  <si>
    <t>PROPUNERI
PROGRAM
2014
(fara TVA)</t>
  </si>
  <si>
    <t>TOTAL VALOARE 
2013+2014
(fara TVA)</t>
  </si>
  <si>
    <t>SF - Reabilitare DJ 106 Agnita-Apold- Sighişoara km 82+535-100+935</t>
  </si>
  <si>
    <t>SF - Reabilitarea sistemului rutier pe drumul judeţean DJ 151D Ungheni - Acatari km 0+000-15+441, jud. Mureş (inclusiv reabilitare poduri)</t>
  </si>
  <si>
    <t>SF Reabilitarea sistemului rutier pe DJ  142 Tîrnăveni-Bălăuşeri şi DJ 142A Găneşti- Băgaciu - lim. jud. Sibiu (inclusiv reabilitare poduri)</t>
  </si>
  <si>
    <t>15,441 km</t>
  </si>
  <si>
    <t xml:space="preserve">Valoare 
executie </t>
  </si>
  <si>
    <t>Valoare investitie cu TVA</t>
  </si>
  <si>
    <t>Valoare investitie fara TVA</t>
  </si>
  <si>
    <t>Valoare SF
40% din valoare proiectare
fara TVA</t>
  </si>
  <si>
    <t>Valoare totala proiectare (SF+PT+
CS+DE)
fara TVA
3,5%</t>
  </si>
  <si>
    <t>Valoare PT 60% din valoare proiectare
fara TVA</t>
  </si>
  <si>
    <t>Nr. crt.</t>
  </si>
  <si>
    <t>Lungime drum 
km</t>
  </si>
  <si>
    <t>CONTRACTE INCHEIATE 
2013
(cu TVA)
-lei-</t>
  </si>
  <si>
    <t>PROPUNERI
PROGRAM
2014
(cu TVA)
-lei-</t>
  </si>
  <si>
    <t xml:space="preserve">Întreţinerea drumuri prin pietruiri </t>
  </si>
  <si>
    <t xml:space="preserve">Covoare bituminoase </t>
  </si>
  <si>
    <t>Lucrări accidentale</t>
  </si>
  <si>
    <t>LISTA</t>
  </si>
  <si>
    <t xml:space="preserve"> Reabilitare drum judeţean DJ 154J Breaza – Voivodeni – Glodeni (PT+DE+CS)</t>
  </si>
  <si>
    <t xml:space="preserve"> AVIZE - Reabilitare drum judeţean DJ 154J Breaza – Voivodeni – Glodeni </t>
  </si>
  <si>
    <t>CONTRACT din 2013</t>
  </si>
  <si>
    <t xml:space="preserve">DENUMIRE  PROIECT / LUCRARI
(AVIZE) </t>
  </si>
  <si>
    <t xml:space="preserve">Reabilitare drumuri judeţene 
</t>
  </si>
  <si>
    <t xml:space="preserve">Reabilitare DJ 151C Zau de Cîmpie - Valea Largă  km 8+500-11+500 (PT+DE+CS) </t>
  </si>
  <si>
    <r>
      <t xml:space="preserve">CHELTUIELI DE INVESTIŢII ŞI REPARAŢII CAPITALE - 
</t>
    </r>
    <r>
      <rPr>
        <b/>
        <sz val="11"/>
        <rFont val="Trebuchet MS"/>
        <family val="2"/>
      </rPr>
      <t>TOTAL E,</t>
    </r>
    <r>
      <rPr>
        <sz val="11"/>
        <rFont val="Trebuchet MS"/>
        <family val="2"/>
      </rPr>
      <t xml:space="preserve"> din care:</t>
    </r>
  </si>
  <si>
    <t>privind cheltuieli de Investitii si Reparatii capitale drumuri judetene - 2014</t>
  </si>
  <si>
    <t>Documentaţii tehnico-economice</t>
  </si>
  <si>
    <t xml:space="preserve">PROGRAMUL LUCRĂRILOR LA DRUMURILE JUDEŢENE - 2014                                                </t>
  </si>
  <si>
    <t>CHELTUIELI DE ÎNTREŢINERE ŞI REPARAŢII CURENTE 
(TOTAL A+B+C+D), din care:</t>
  </si>
  <si>
    <t xml:space="preserve">influente
+/-
</t>
  </si>
  <si>
    <t>Program aprobat
lei
(cu TVA)</t>
  </si>
  <si>
    <r>
      <t>Avize</t>
    </r>
    <r>
      <rPr>
        <sz val="11"/>
        <color indexed="8"/>
        <rFont val="Trebuchet MS"/>
        <family val="2"/>
      </rPr>
      <t xml:space="preserve"> - Reabilitare DJ 106 Agnita-Apold- Sighişoara km 82+535-100+935</t>
    </r>
  </si>
  <si>
    <r>
      <t xml:space="preserve">Avize - </t>
    </r>
    <r>
      <rPr>
        <sz val="11"/>
        <color indexed="8"/>
        <rFont val="Trebuchet MS"/>
        <family val="2"/>
      </rPr>
      <t xml:space="preserve">Reabilitare sistem rutier pe drumul judeţean Tg. Mureş-Band-Şăulia  şi Luduş-Sărmaşu - lim. Jud. Bistriţa Năsăud format din DJ 152A km 0+930-18+855, DJ151A km  0+000-20+100 şi DJ 151 km 0+000-45+810, jud. Mureş, </t>
    </r>
  </si>
  <si>
    <r>
      <t>Avize</t>
    </r>
    <r>
      <rPr>
        <sz val="11"/>
        <color indexed="8"/>
        <rFont val="Trebuchet MS"/>
        <family val="2"/>
      </rPr>
      <t xml:space="preserve"> - Reabilitarea sistemului rutier pe drumul judeţean DJ 151D Ungheni - Acatari km 0+000-15+441, jud. Mureş</t>
    </r>
  </si>
  <si>
    <r>
      <t>Total:</t>
    </r>
    <r>
      <rPr>
        <sz val="11"/>
        <color indexed="8"/>
        <rFont val="Trebuchet MS"/>
        <family val="2"/>
      </rPr>
      <t xml:space="preserve"> 46,95 km</t>
    </r>
  </si>
  <si>
    <r>
      <t xml:space="preserve">Avize - </t>
    </r>
    <r>
      <rPr>
        <sz val="11"/>
        <color indexed="8"/>
        <rFont val="Trebuchet MS"/>
        <family val="2"/>
      </rPr>
      <t xml:space="preserve">Reabilitarea sistemului rutier pe DJ  142 Tîrnăveni-Bălăuşeri şi DJ 142A Găneşti- Băgaciu - lim. jud. Sibiu </t>
    </r>
  </si>
  <si>
    <r>
      <t>AVIZE</t>
    </r>
    <r>
      <rPr>
        <sz val="11"/>
        <rFont val="Trebuchet MS"/>
        <family val="2"/>
      </rPr>
      <t xml:space="preserve"> - IUR - Asfaltare DJ153 G DJ151-Sînger-Papiu Ilarian-Ursoaia     
km 6+948-7+790 </t>
    </r>
  </si>
  <si>
    <r>
      <t>AVIZE</t>
    </r>
    <r>
      <rPr>
        <sz val="11"/>
        <rFont val="Trebuchet MS"/>
        <family val="2"/>
      </rPr>
      <t xml:space="preserve"> - IUR  - DJ 154A Reghin - Deda - Filea  km 23+050-24+050</t>
    </r>
  </si>
  <si>
    <t>INFLUENŢE
+/-</t>
  </si>
  <si>
    <t xml:space="preserve">AVIZE - SF pentru IUR - DJ 151C Zau de Cîmpie - Valea Largă  km 8+500-11+500 </t>
  </si>
  <si>
    <t xml:space="preserve">Total 
poduri/
podeţe:
4 buc. </t>
  </si>
  <si>
    <t xml:space="preserve">Total
drumuri:
97,842  </t>
  </si>
  <si>
    <r>
      <t>SF+PT+ Avize - Reabilitare poduri/podeţe pe DJ</t>
    </r>
    <r>
      <rPr>
        <sz val="11"/>
        <color indexed="8"/>
        <rFont val="Trebuchet MS"/>
        <family val="2"/>
      </rPr>
      <t xml:space="preserve">
-DJ135 Tîrgu Mureş-Miercurea Nirajului, km 3+735
-DJ142 Tîrnăveni-Bălăuşeri, km 4+516
-DJ151B Ungheni-Căpâlna de Sus-Bahnea-lim. jud. Sibiu, km 0+900
-DJ106 lim. jud. Sibiu-Apold-Sighişoara, km 93+487</t>
    </r>
  </si>
  <si>
    <t>ROMÂNIA</t>
  </si>
  <si>
    <t>JUDEŢUL MUREŞ</t>
  </si>
  <si>
    <t>CONSILIUL JUDEŢEAN MUREŞ</t>
  </si>
  <si>
    <t>SF+PT+ Avize -  Reabilitare sistem rutier pe drumurile judeţene:
-DJ 151B Ungheni-Căpîlna de Sus - Bahnea - limită judeţ Sibiu şi DJ142 Târnăveni - Bălăuşeri; 
-Tg. Mureş-Band-Şăulia  şi Luduş-Sărmaşu - lim. Jud. Bistriţa Năsăud (DJ152A km , DJ151A  şi DJ 151);
-DJ 151D Ungheni - Acăţari;</t>
  </si>
  <si>
    <t xml:space="preserve"> PROGRAM
2014
(cu TVA) 
-lei-</t>
  </si>
  <si>
    <t xml:space="preserve">Reabilitări, consolidări-reconstrucţii PODURI </t>
  </si>
  <si>
    <t>1 buc.</t>
  </si>
  <si>
    <t>3.1</t>
  </si>
  <si>
    <t>Reabilitare DJ 154J Breaza – Voivodeni – Glodeni (executie lucrari) (km 0+631-4+726)</t>
  </si>
  <si>
    <t>Reabilitare DJ 151C Zau de Cîmpie - Valea Largă  km 8+500-11+500 (executie lucrari)</t>
  </si>
  <si>
    <t xml:space="preserve"> Pod peste Valea Şaeş pe DJ 106, km 88+962 (executie, avize)</t>
  </si>
  <si>
    <t xml:space="preserve">Întocmire documentaţii tehnice  </t>
  </si>
  <si>
    <t xml:space="preserve"> Pod peste Valea Şaeş pe DJ 106, km 88+962 (executie+avize)</t>
  </si>
  <si>
    <t>Anexa nr.9/1/c  la HCJM nr.____________/______2014</t>
  </si>
  <si>
    <t>Reabilitare sistem rutier pe DJ Sîngeorgiu de Pădure - Bezidu Nou - lim.jud. Harghita, DJ136 km 1+900 - 8+000 şi DJ 136A km 0+000 - 3+800</t>
  </si>
  <si>
    <t xml:space="preserve">PROGRAM
RECTIFICAT
2014
-lei-
</t>
  </si>
  <si>
    <t>Program 
rectificat
lei
(cu TVA)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</si>
</sst>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€-2]\ #,##0.00_);[Red]\([$€-2]\ #,##0.00\)"/>
    <numFmt numFmtId="177" formatCode="0.000"/>
    <numFmt numFmtId="178" formatCode="[$-40E]yyyy\.\ mmmm\ d\."/>
    <numFmt numFmtId="179" formatCode="0.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18"/>
      <name val="Trebuchet MS"/>
      <family val="2"/>
    </font>
    <font>
      <b/>
      <sz val="14"/>
      <color indexed="8"/>
      <name val="Trebuchet MS"/>
      <family val="2"/>
    </font>
    <font>
      <sz val="14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5" fillId="3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 textRotation="90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left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right" vertical="center"/>
    </xf>
    <xf numFmtId="3" fontId="10" fillId="10" borderId="10" xfId="0" applyNumberFormat="1" applyFont="1" applyFill="1" applyBorder="1" applyAlignment="1">
      <alignment horizontal="center" vertical="center" wrapText="1"/>
    </xf>
    <xf numFmtId="3" fontId="10" fillId="10" borderId="10" xfId="0" applyNumberFormat="1" applyFont="1" applyFill="1" applyBorder="1" applyAlignment="1">
      <alignment horizontal="left" vertical="center" wrapText="1"/>
    </xf>
    <xf numFmtId="3" fontId="11" fillId="10" borderId="10" xfId="0" applyNumberFormat="1" applyFont="1" applyFill="1" applyBorder="1" applyAlignment="1">
      <alignment horizontal="center" vertical="center" wrapText="1"/>
    </xf>
    <xf numFmtId="3" fontId="11" fillId="10" borderId="10" xfId="0" applyNumberFormat="1" applyFont="1" applyFill="1" applyBorder="1" applyAlignment="1">
      <alignment horizontal="center" vertical="center"/>
    </xf>
    <xf numFmtId="3" fontId="10" fillId="1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2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wrapText="1"/>
    </xf>
    <xf numFmtId="3" fontId="12" fillId="32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wrapText="1"/>
    </xf>
    <xf numFmtId="3" fontId="12" fillId="32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right"/>
    </xf>
    <xf numFmtId="3" fontId="10" fillId="10" borderId="10" xfId="0" applyNumberFormat="1" applyFont="1" applyFill="1" applyBorder="1" applyAlignment="1">
      <alignment horizontal="center" vertical="center"/>
    </xf>
    <xf numFmtId="3" fontId="13" fillId="10" borderId="10" xfId="0" applyNumberFormat="1" applyFont="1" applyFill="1" applyBorder="1" applyAlignment="1">
      <alignment vertical="center" wrapText="1"/>
    </xf>
    <xf numFmtId="3" fontId="12" fillId="10" borderId="10" xfId="0" applyNumberFormat="1" applyFont="1" applyFill="1" applyBorder="1" applyAlignment="1">
      <alignment vertical="center" wrapText="1"/>
    </xf>
    <xf numFmtId="3" fontId="11" fillId="10" borderId="10" xfId="0" applyNumberFormat="1" applyFont="1" applyFill="1" applyBorder="1" applyAlignment="1">
      <alignment/>
    </xf>
    <xf numFmtId="3" fontId="10" fillId="10" borderId="10" xfId="0" applyNumberFormat="1" applyFont="1" applyFill="1" applyBorder="1" applyAlignment="1">
      <alignment/>
    </xf>
    <xf numFmtId="3" fontId="10" fillId="10" borderId="10" xfId="0" applyNumberFormat="1" applyFont="1" applyFill="1" applyBorder="1" applyAlignment="1">
      <alignment horizontal="right" wrapText="1"/>
    </xf>
    <xf numFmtId="3" fontId="13" fillId="18" borderId="10" xfId="0" applyNumberFormat="1" applyFont="1" applyFill="1" applyBorder="1" applyAlignment="1">
      <alignment horizontal="center" vertical="center"/>
    </xf>
    <xf numFmtId="3" fontId="13" fillId="18" borderId="10" xfId="0" applyNumberFormat="1" applyFont="1" applyFill="1" applyBorder="1" applyAlignment="1">
      <alignment vertical="center" wrapText="1"/>
    </xf>
    <xf numFmtId="3" fontId="12" fillId="18" borderId="10" xfId="0" applyNumberFormat="1" applyFont="1" applyFill="1" applyBorder="1" applyAlignment="1">
      <alignment vertical="center" wrapText="1"/>
    </xf>
    <xf numFmtId="3" fontId="11" fillId="18" borderId="10" xfId="0" applyNumberFormat="1" applyFont="1" applyFill="1" applyBorder="1" applyAlignment="1">
      <alignment/>
    </xf>
    <xf numFmtId="3" fontId="10" fillId="18" borderId="10" xfId="0" applyNumberFormat="1" applyFont="1" applyFill="1" applyBorder="1" applyAlignment="1">
      <alignment/>
    </xf>
    <xf numFmtId="3" fontId="10" fillId="18" borderId="10" xfId="0" applyNumberFormat="1" applyFont="1" applyFill="1" applyBorder="1" applyAlignment="1">
      <alignment horizontal="right" wrapText="1"/>
    </xf>
    <xf numFmtId="3" fontId="10" fillId="32" borderId="10" xfId="0" applyNumberFormat="1" applyFont="1" applyFill="1" applyBorder="1" applyAlignment="1">
      <alignment horizontal="center" vertical="center"/>
    </xf>
    <xf numFmtId="3" fontId="11" fillId="32" borderId="10" xfId="0" applyNumberFormat="1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3" fontId="10" fillId="18" borderId="10" xfId="0" applyNumberFormat="1" applyFont="1" applyFill="1" applyBorder="1" applyAlignment="1">
      <alignment horizontal="right" vertical="center" wrapText="1"/>
    </xf>
    <xf numFmtId="3" fontId="13" fillId="18" borderId="10" xfId="0" applyNumberFormat="1" applyFont="1" applyFill="1" applyBorder="1" applyAlignment="1">
      <alignment horizontal="right"/>
    </xf>
    <xf numFmtId="3" fontId="13" fillId="10" borderId="10" xfId="0" applyNumberFormat="1" applyFont="1" applyFill="1" applyBorder="1" applyAlignment="1">
      <alignment horizontal="center" vertical="center"/>
    </xf>
    <xf numFmtId="3" fontId="13" fillId="10" borderId="10" xfId="0" applyNumberFormat="1" applyFont="1" applyFill="1" applyBorder="1" applyAlignment="1">
      <alignment horizontal="right"/>
    </xf>
    <xf numFmtId="4" fontId="12" fillId="32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4" fillId="1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vertical="center" wrapText="1"/>
    </xf>
    <xf numFmtId="3" fontId="13" fillId="36" borderId="10" xfId="0" applyNumberFormat="1" applyFont="1" applyFill="1" applyBorder="1" applyAlignment="1">
      <alignment horizontal="right" vertical="center" wrapText="1"/>
    </xf>
    <xf numFmtId="3" fontId="10" fillId="10" borderId="10" xfId="0" applyNumberFormat="1" applyFont="1" applyFill="1" applyBorder="1" applyAlignment="1">
      <alignment horizontal="right"/>
    </xf>
    <xf numFmtId="3" fontId="11" fillId="1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wrapText="1"/>
    </xf>
    <xf numFmtId="3" fontId="11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center" wrapText="1"/>
    </xf>
    <xf numFmtId="3" fontId="10" fillId="37" borderId="10" xfId="0" applyNumberFormat="1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right" vertical="center" wrapText="1"/>
    </xf>
    <xf numFmtId="0" fontId="15" fillId="32" borderId="0" xfId="0" applyFont="1" applyFill="1" applyAlignment="1">
      <alignment/>
    </xf>
    <xf numFmtId="170" fontId="10" fillId="32" borderId="10" xfId="47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2" fillId="32" borderId="10" xfId="0" applyNumberFormat="1" applyFont="1" applyFill="1" applyBorder="1" applyAlignment="1">
      <alignment vertical="center"/>
    </xf>
    <xf numFmtId="3" fontId="12" fillId="32" borderId="11" xfId="0" applyNumberFormat="1" applyFont="1" applyFill="1" applyBorder="1" applyAlignment="1">
      <alignment vertical="center"/>
    </xf>
    <xf numFmtId="172" fontId="12" fillId="32" borderId="12" xfId="0" applyNumberFormat="1" applyFont="1" applyFill="1" applyBorder="1" applyAlignment="1">
      <alignment horizontal="right" vertical="center"/>
    </xf>
    <xf numFmtId="172" fontId="12" fillId="32" borderId="13" xfId="0" applyNumberFormat="1" applyFont="1" applyFill="1" applyBorder="1" applyAlignment="1">
      <alignment horizontal="right" vertical="center"/>
    </xf>
    <xf numFmtId="3" fontId="12" fillId="32" borderId="14" xfId="0" applyNumberFormat="1" applyFont="1" applyFill="1" applyBorder="1" applyAlignment="1">
      <alignment vertical="center"/>
    </xf>
    <xf numFmtId="172" fontId="12" fillId="0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/>
    </xf>
    <xf numFmtId="172" fontId="12" fillId="32" borderId="10" xfId="0" applyNumberFormat="1" applyFont="1" applyFill="1" applyBorder="1" applyAlignment="1">
      <alignment horizontal="right" vertical="center" wrapText="1"/>
    </xf>
    <xf numFmtId="3" fontId="13" fillId="32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left" vertical="center" wrapText="1"/>
    </xf>
    <xf numFmtId="4" fontId="13" fillId="32" borderId="15" xfId="0" applyNumberFormat="1" applyFont="1" applyFill="1" applyBorder="1" applyAlignment="1">
      <alignment horizontal="left" vertical="center" wrapText="1"/>
    </xf>
    <xf numFmtId="4" fontId="12" fillId="32" borderId="15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2" fillId="32" borderId="10" xfId="0" applyNumberFormat="1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1" fillId="32" borderId="10" xfId="0" applyNumberFormat="1" applyFont="1" applyFill="1" applyBorder="1" applyAlignment="1">
      <alignment vertical="center"/>
    </xf>
    <xf numFmtId="172" fontId="10" fillId="32" borderId="10" xfId="0" applyNumberFormat="1" applyFont="1" applyFill="1" applyBorder="1" applyAlignment="1">
      <alignment/>
    </xf>
    <xf numFmtId="172" fontId="10" fillId="32" borderId="10" xfId="0" applyNumberFormat="1" applyFont="1" applyFill="1" applyBorder="1" applyAlignment="1">
      <alignment horizontal="center" vertical="center"/>
    </xf>
    <xf numFmtId="172" fontId="10" fillId="32" borderId="10" xfId="0" applyNumberFormat="1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172" fontId="12" fillId="32" borderId="10" xfId="0" applyNumberFormat="1" applyFont="1" applyFill="1" applyBorder="1" applyAlignment="1">
      <alignment vertical="center" wrapText="1"/>
    </xf>
    <xf numFmtId="172" fontId="12" fillId="32" borderId="11" xfId="0" applyNumberFormat="1" applyFont="1" applyFill="1" applyBorder="1" applyAlignment="1">
      <alignment vertical="center" wrapText="1"/>
    </xf>
    <xf numFmtId="172" fontId="12" fillId="32" borderId="10" xfId="0" applyNumberFormat="1" applyFont="1" applyFill="1" applyBorder="1" applyAlignment="1">
      <alignment/>
    </xf>
    <xf numFmtId="1" fontId="10" fillId="32" borderId="10" xfId="0" applyNumberFormat="1" applyFont="1" applyFill="1" applyBorder="1" applyAlignment="1">
      <alignment horizontal="center" vertical="center" textRotation="90"/>
    </xf>
    <xf numFmtId="1" fontId="10" fillId="32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3" fontId="14" fillId="10" borderId="10" xfId="0" applyNumberFormat="1" applyFont="1" applyFill="1" applyBorder="1" applyAlignment="1">
      <alignment horizontal="right" vertical="center"/>
    </xf>
    <xf numFmtId="172" fontId="14" fillId="10" borderId="10" xfId="0" applyNumberFormat="1" applyFont="1" applyFill="1" applyBorder="1" applyAlignment="1">
      <alignment horizontal="right" vertical="center"/>
    </xf>
    <xf numFmtId="4" fontId="10" fillId="32" borderId="11" xfId="0" applyNumberFormat="1" applyFont="1" applyFill="1" applyBorder="1" applyAlignment="1">
      <alignment horizontal="left" vertical="center" wrapText="1"/>
    </xf>
    <xf numFmtId="172" fontId="10" fillId="32" borderId="11" xfId="0" applyNumberFormat="1" applyFont="1" applyFill="1" applyBorder="1" applyAlignment="1">
      <alignment horizontal="center" vertical="center"/>
    </xf>
    <xf numFmtId="172" fontId="10" fillId="32" borderId="14" xfId="0" applyNumberFormat="1" applyFont="1" applyFill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left" vertical="center" wrapText="1"/>
    </xf>
    <xf numFmtId="172" fontId="10" fillId="32" borderId="14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left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 vertical="center" wrapText="1"/>
    </xf>
    <xf numFmtId="3" fontId="10" fillId="32" borderId="10" xfId="0" applyNumberFormat="1" applyFont="1" applyFill="1" applyBorder="1" applyAlignment="1">
      <alignment horizontal="right" vertical="center"/>
    </xf>
    <xf numFmtId="3" fontId="12" fillId="32" borderId="10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2" fillId="32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 vertical="center"/>
    </xf>
    <xf numFmtId="3" fontId="11" fillId="32" borderId="16" xfId="0" applyNumberFormat="1" applyFont="1" applyFill="1" applyBorder="1" applyAlignment="1">
      <alignment horizontal="right"/>
    </xf>
    <xf numFmtId="3" fontId="10" fillId="32" borderId="15" xfId="0" applyNumberFormat="1" applyFont="1" applyFill="1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/>
    </xf>
    <xf numFmtId="3" fontId="10" fillId="18" borderId="10" xfId="0" applyNumberFormat="1" applyFont="1" applyFill="1" applyBorder="1" applyAlignment="1">
      <alignment horizontal="right" vertical="center"/>
    </xf>
    <xf numFmtId="3" fontId="11" fillId="18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vertical="center" wrapText="1"/>
    </xf>
    <xf numFmtId="3" fontId="13" fillId="3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172" fontId="12" fillId="3" borderId="10" xfId="0" applyNumberFormat="1" applyFont="1" applyFill="1" applyBorder="1" applyAlignment="1">
      <alignment horizontal="right" vertical="center" wrapText="1"/>
    </xf>
    <xf numFmtId="3" fontId="12" fillId="3" borderId="10" xfId="0" applyNumberFormat="1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horizontal="right" vertical="center"/>
    </xf>
    <xf numFmtId="172" fontId="13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/>
    </xf>
    <xf numFmtId="172" fontId="10" fillId="1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center" vertical="center"/>
    </xf>
    <xf numFmtId="172" fontId="13" fillId="36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15" fillId="32" borderId="0" xfId="0" applyFont="1" applyFill="1" applyAlignment="1">
      <alignment horizontal="center" wrapText="1"/>
    </xf>
    <xf numFmtId="0" fontId="0" fillId="0" borderId="0" xfId="0" applyAlignment="1">
      <alignment/>
    </xf>
    <xf numFmtId="0" fontId="17" fillId="3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10" fillId="0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32" borderId="17" xfId="0" applyFont="1" applyFill="1" applyBorder="1" applyAlignment="1">
      <alignment wrapText="1"/>
    </xf>
    <xf numFmtId="1" fontId="10" fillId="32" borderId="1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40" workbookViewId="0" topLeftCell="A16">
      <selection activeCell="T2" sqref="T2"/>
    </sheetView>
  </sheetViews>
  <sheetFormatPr defaultColWidth="9.140625" defaultRowHeight="15"/>
  <cols>
    <col min="1" max="1" width="6.00390625" style="4" customWidth="1"/>
    <col min="2" max="2" width="47.7109375" style="0" customWidth="1"/>
    <col min="3" max="3" width="11.421875" style="0" customWidth="1"/>
    <col min="4" max="4" width="17.421875" style="0" hidden="1" customWidth="1"/>
    <col min="5" max="5" width="14.28125" style="0" hidden="1" customWidth="1"/>
    <col min="6" max="7" width="13.57421875" style="0" hidden="1" customWidth="1"/>
    <col min="8" max="8" width="14.28125" style="0" hidden="1" customWidth="1"/>
    <col min="9" max="9" width="12.8515625" style="0" hidden="1" customWidth="1"/>
    <col min="10" max="10" width="11.57421875" style="0" hidden="1" customWidth="1"/>
    <col min="11" max="12" width="14.57421875" style="0" hidden="1" customWidth="1"/>
    <col min="13" max="13" width="14.421875" style="0" hidden="1" customWidth="1"/>
    <col min="14" max="14" width="15.7109375" style="0" hidden="1" customWidth="1"/>
    <col min="15" max="15" width="14.140625" style="0" hidden="1" customWidth="1"/>
    <col min="16" max="16" width="17.7109375" style="6" customWidth="1"/>
    <col min="17" max="17" width="10.57421875" style="0" hidden="1" customWidth="1"/>
    <col min="18" max="18" width="7.28125" style="0" hidden="1" customWidth="1"/>
    <col min="19" max="19" width="12.7109375" style="0" customWidth="1"/>
    <col min="20" max="20" width="14.140625" style="0" customWidth="1"/>
  </cols>
  <sheetData>
    <row r="1" spans="1:20" ht="18.75">
      <c r="A1" s="197" t="s">
        <v>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99"/>
      <c r="S1" s="199"/>
      <c r="T1" s="199"/>
    </row>
    <row r="2" spans="1:20" s="1" customFormat="1" ht="99">
      <c r="A2" s="24" t="s">
        <v>0</v>
      </c>
      <c r="B2" s="25" t="s">
        <v>1</v>
      </c>
      <c r="C2" s="26" t="s">
        <v>57</v>
      </c>
      <c r="D2" s="26" t="s">
        <v>37</v>
      </c>
      <c r="E2" s="26" t="s">
        <v>50</v>
      </c>
      <c r="F2" s="26" t="s">
        <v>13</v>
      </c>
      <c r="G2" s="26" t="s">
        <v>12</v>
      </c>
      <c r="H2" s="26" t="s">
        <v>2</v>
      </c>
      <c r="I2" s="26" t="s">
        <v>3</v>
      </c>
      <c r="J2" s="26" t="s">
        <v>38</v>
      </c>
      <c r="K2" s="27" t="s">
        <v>43</v>
      </c>
      <c r="L2" s="27" t="s">
        <v>58</v>
      </c>
      <c r="M2" s="28" t="s">
        <v>44</v>
      </c>
      <c r="N2" s="28" t="s">
        <v>59</v>
      </c>
      <c r="O2" s="29" t="s">
        <v>45</v>
      </c>
      <c r="P2" s="30" t="s">
        <v>93</v>
      </c>
      <c r="Q2" s="126" t="s">
        <v>40</v>
      </c>
      <c r="R2" s="127"/>
      <c r="S2" s="128" t="s">
        <v>84</v>
      </c>
      <c r="T2" s="129" t="s">
        <v>104</v>
      </c>
    </row>
    <row r="3" spans="1:20" s="1" customFormat="1" ht="16.5">
      <c r="A3" s="89"/>
      <c r="B3" s="90" t="s">
        <v>35</v>
      </c>
      <c r="C3" s="91"/>
      <c r="D3" s="91"/>
      <c r="E3" s="92" t="e">
        <f aca="true" t="shared" si="0" ref="E3:K3">E4+E24</f>
        <v>#REF!</v>
      </c>
      <c r="F3" s="92" t="e">
        <f t="shared" si="0"/>
        <v>#REF!</v>
      </c>
      <c r="G3" s="92" t="e">
        <f t="shared" si="0"/>
        <v>#REF!</v>
      </c>
      <c r="H3" s="92" t="e">
        <f t="shared" si="0"/>
        <v>#REF!</v>
      </c>
      <c r="I3" s="92" t="e">
        <f t="shared" si="0"/>
        <v>#REF!</v>
      </c>
      <c r="J3" s="92" t="e">
        <f t="shared" si="0"/>
        <v>#REF!</v>
      </c>
      <c r="K3" s="92" t="e">
        <f t="shared" si="0"/>
        <v>#REF!</v>
      </c>
      <c r="L3" s="92" t="e">
        <f>K3*1.24</f>
        <v>#REF!</v>
      </c>
      <c r="M3" s="92" t="e">
        <f>M4+M24</f>
        <v>#REF!</v>
      </c>
      <c r="N3" s="92" t="e">
        <f>M3*1.24</f>
        <v>#REF!</v>
      </c>
      <c r="O3" s="92" t="e">
        <f>O4+O24</f>
        <v>#REF!</v>
      </c>
      <c r="P3" s="92">
        <f>P4+P25</f>
        <v>39806999.91133547</v>
      </c>
      <c r="Q3" s="92">
        <f>Q4+Q25</f>
        <v>3106758</v>
      </c>
      <c r="R3" s="92">
        <f>R4+R25</f>
        <v>0</v>
      </c>
      <c r="S3" s="92">
        <f>S4+S25</f>
        <v>7140000</v>
      </c>
      <c r="T3" s="92">
        <f>T4+T25</f>
        <v>46946999.91133547</v>
      </c>
    </row>
    <row r="4" spans="1:20" s="7" customFormat="1" ht="49.5">
      <c r="A4" s="31" t="s">
        <v>14</v>
      </c>
      <c r="B4" s="32" t="s">
        <v>74</v>
      </c>
      <c r="C4" s="33"/>
      <c r="D4" s="33"/>
      <c r="E4" s="34" t="e">
        <f aca="true" t="shared" si="1" ref="E4:O4">E5+E10+E16+E20</f>
        <v>#REF!</v>
      </c>
      <c r="F4" s="34" t="e">
        <f t="shared" si="1"/>
        <v>#REF!</v>
      </c>
      <c r="G4" s="34" t="e">
        <f t="shared" si="1"/>
        <v>#REF!</v>
      </c>
      <c r="H4" s="34" t="e">
        <f t="shared" si="1"/>
        <v>#REF!</v>
      </c>
      <c r="I4" s="34" t="e">
        <f t="shared" si="1"/>
        <v>#REF!</v>
      </c>
      <c r="J4" s="34" t="e">
        <f t="shared" si="1"/>
        <v>#REF!</v>
      </c>
      <c r="K4" s="34" t="e">
        <f t="shared" si="1"/>
        <v>#REF!</v>
      </c>
      <c r="L4" s="34" t="e">
        <f t="shared" si="1"/>
        <v>#REF!</v>
      </c>
      <c r="M4" s="34" t="e">
        <f t="shared" si="1"/>
        <v>#REF!</v>
      </c>
      <c r="N4" s="34" t="e">
        <f t="shared" si="1"/>
        <v>#REF!</v>
      </c>
      <c r="O4" s="34" t="e">
        <f t="shared" si="1"/>
        <v>#REF!</v>
      </c>
      <c r="P4" s="34">
        <f>P5+P10+P16+P20</f>
        <v>22794000.12872</v>
      </c>
      <c r="Q4" s="34">
        <f>Q5+Q10+Q16+Q20</f>
        <v>3106758</v>
      </c>
      <c r="R4" s="34">
        <f>R5+R10+R16+R20</f>
        <v>0</v>
      </c>
      <c r="S4" s="34">
        <f>S5+S10+S16+S20</f>
        <v>4323000</v>
      </c>
      <c r="T4" s="34">
        <f>T5+T10+T16+T20</f>
        <v>27117000.12872</v>
      </c>
    </row>
    <row r="5" spans="1:20" s="7" customFormat="1" ht="33">
      <c r="A5" s="35" t="s">
        <v>15</v>
      </c>
      <c r="B5" s="36" t="s">
        <v>36</v>
      </c>
      <c r="C5" s="37"/>
      <c r="D5" s="37"/>
      <c r="E5" s="38"/>
      <c r="F5" s="37"/>
      <c r="G5" s="37"/>
      <c r="H5" s="37"/>
      <c r="I5" s="37"/>
      <c r="J5" s="37"/>
      <c r="K5" s="39">
        <f>K6+K7+K8+K9</f>
        <v>0</v>
      </c>
      <c r="L5" s="39">
        <f>K5*1.24</f>
        <v>0</v>
      </c>
      <c r="M5" s="39">
        <f>M6+M7+M8+M9</f>
        <v>685483.6612903225</v>
      </c>
      <c r="N5" s="39">
        <f aca="true" t="shared" si="2" ref="N5:N19">M5*1.24</f>
        <v>849999.74</v>
      </c>
      <c r="O5" s="39">
        <f>O6+O7+O8+O9</f>
        <v>685483.6612903225</v>
      </c>
      <c r="P5" s="39">
        <f>SUM(P6:P9)</f>
        <v>849999.74</v>
      </c>
      <c r="Q5" s="39">
        <f>SUM(Q6:Q9)</f>
        <v>346758</v>
      </c>
      <c r="R5" s="39">
        <f>SUM(R6:R9)</f>
        <v>0</v>
      </c>
      <c r="S5" s="39">
        <f>SUM(S6:S9)</f>
        <v>0</v>
      </c>
      <c r="T5" s="39">
        <f>SUM(T6:T9)</f>
        <v>849999.74</v>
      </c>
    </row>
    <row r="6" spans="1:20" ht="16.5">
      <c r="A6" s="25">
        <v>1</v>
      </c>
      <c r="B6" s="40" t="s">
        <v>4</v>
      </c>
      <c r="C6" s="41"/>
      <c r="D6" s="40"/>
      <c r="E6" s="40"/>
      <c r="F6" s="40"/>
      <c r="G6" s="40"/>
      <c r="H6" s="42"/>
      <c r="I6" s="42"/>
      <c r="J6" s="42"/>
      <c r="K6" s="43"/>
      <c r="L6" s="44">
        <f>K6*1.24</f>
        <v>0</v>
      </c>
      <c r="M6" s="45">
        <v>241935.5</v>
      </c>
      <c r="N6" s="46">
        <f t="shared" si="2"/>
        <v>300000.02</v>
      </c>
      <c r="O6" s="47">
        <f>K6+M6</f>
        <v>241935.5</v>
      </c>
      <c r="P6" s="44">
        <v>300000.02</v>
      </c>
      <c r="Q6" s="167"/>
      <c r="R6" s="167"/>
      <c r="S6" s="168"/>
      <c r="T6" s="158">
        <f>P6+S6</f>
        <v>300000.02</v>
      </c>
    </row>
    <row r="7" spans="1:20" ht="16.5">
      <c r="A7" s="25">
        <v>2</v>
      </c>
      <c r="B7" s="48" t="s">
        <v>100</v>
      </c>
      <c r="C7" s="40"/>
      <c r="D7" s="40"/>
      <c r="E7" s="40"/>
      <c r="F7" s="40"/>
      <c r="G7" s="40"/>
      <c r="H7" s="42"/>
      <c r="I7" s="42"/>
      <c r="J7" s="42"/>
      <c r="K7" s="47"/>
      <c r="L7" s="44">
        <f aca="true" t="shared" si="3" ref="L7:L19">K7*1.24</f>
        <v>0</v>
      </c>
      <c r="M7" s="45">
        <v>40322.5</v>
      </c>
      <c r="N7" s="46">
        <f t="shared" si="2"/>
        <v>49999.9</v>
      </c>
      <c r="O7" s="47">
        <f>K7+M7</f>
        <v>40322.5</v>
      </c>
      <c r="P7" s="44">
        <v>149999.9</v>
      </c>
      <c r="Q7" s="167"/>
      <c r="R7" s="167"/>
      <c r="S7" s="172"/>
      <c r="T7" s="158">
        <f>P7+S7</f>
        <v>149999.9</v>
      </c>
    </row>
    <row r="8" spans="1:20" ht="49.5">
      <c r="A8" s="25">
        <v>3</v>
      </c>
      <c r="B8" s="48" t="s">
        <v>26</v>
      </c>
      <c r="C8" s="40"/>
      <c r="D8" s="40"/>
      <c r="E8" s="40"/>
      <c r="F8" s="40"/>
      <c r="G8" s="40"/>
      <c r="H8" s="42"/>
      <c r="I8" s="42"/>
      <c r="J8" s="42"/>
      <c r="K8" s="47"/>
      <c r="L8" s="46">
        <f t="shared" si="3"/>
        <v>0</v>
      </c>
      <c r="M8" s="45">
        <v>322580.5</v>
      </c>
      <c r="N8" s="46">
        <f t="shared" si="2"/>
        <v>399999.82</v>
      </c>
      <c r="O8" s="47">
        <f>K8+M8</f>
        <v>322580.5</v>
      </c>
      <c r="P8" s="44">
        <v>399999.82</v>
      </c>
      <c r="Q8" s="169">
        <v>306435</v>
      </c>
      <c r="R8" s="167"/>
      <c r="S8" s="168"/>
      <c r="T8" s="158">
        <f>P8+S8</f>
        <v>399999.82</v>
      </c>
    </row>
    <row r="9" spans="1:20" ht="16.5">
      <c r="A9" s="25">
        <v>4</v>
      </c>
      <c r="B9" s="49" t="s">
        <v>5</v>
      </c>
      <c r="C9" s="49"/>
      <c r="D9" s="40"/>
      <c r="E9" s="40"/>
      <c r="F9" s="40"/>
      <c r="G9" s="40"/>
      <c r="H9" s="40"/>
      <c r="I9" s="40"/>
      <c r="J9" s="40"/>
      <c r="K9" s="50"/>
      <c r="L9" s="44">
        <f t="shared" si="3"/>
        <v>0</v>
      </c>
      <c r="M9" s="45">
        <f>100000/1.24</f>
        <v>80645.16129032258</v>
      </c>
      <c r="N9" s="46">
        <f t="shared" si="2"/>
        <v>100000</v>
      </c>
      <c r="O9" s="47">
        <f>K9+M9</f>
        <v>80645.16129032258</v>
      </c>
      <c r="P9" s="44">
        <v>0</v>
      </c>
      <c r="Q9" s="167">
        <v>40323</v>
      </c>
      <c r="R9" s="167"/>
      <c r="S9" s="172"/>
      <c r="T9" s="158">
        <f>P9+S9</f>
        <v>0</v>
      </c>
    </row>
    <row r="10" spans="1:20" s="6" customFormat="1" ht="33">
      <c r="A10" s="51" t="s">
        <v>16</v>
      </c>
      <c r="B10" s="52" t="s">
        <v>30</v>
      </c>
      <c r="C10" s="53"/>
      <c r="D10" s="54"/>
      <c r="E10" s="54"/>
      <c r="F10" s="54"/>
      <c r="G10" s="54"/>
      <c r="H10" s="54"/>
      <c r="I10" s="54"/>
      <c r="J10" s="54"/>
      <c r="K10" s="55">
        <f>K11+K15</f>
        <v>85484</v>
      </c>
      <c r="L10" s="56">
        <f t="shared" si="3"/>
        <v>106000.16</v>
      </c>
      <c r="M10" s="55">
        <f>M11+M15</f>
        <v>4793548.451612903</v>
      </c>
      <c r="N10" s="56">
        <f t="shared" si="2"/>
        <v>5944000.079999999</v>
      </c>
      <c r="O10" s="55">
        <f aca="true" t="shared" si="4" ref="O10:T10">O11+O15</f>
        <v>4879032.451612903</v>
      </c>
      <c r="P10" s="39">
        <f t="shared" si="4"/>
        <v>6837000.24</v>
      </c>
      <c r="Q10" s="39">
        <f t="shared" si="4"/>
        <v>600000</v>
      </c>
      <c r="R10" s="39">
        <f t="shared" si="4"/>
        <v>0</v>
      </c>
      <c r="S10" s="39">
        <f t="shared" si="4"/>
        <v>966000</v>
      </c>
      <c r="T10" s="39">
        <f t="shared" si="4"/>
        <v>7803000.24</v>
      </c>
    </row>
    <row r="11" spans="1:20" s="6" customFormat="1" ht="33">
      <c r="A11" s="57">
        <v>1</v>
      </c>
      <c r="B11" s="58" t="s">
        <v>29</v>
      </c>
      <c r="C11" s="59"/>
      <c r="D11" s="60"/>
      <c r="E11" s="60"/>
      <c r="F11" s="60"/>
      <c r="G11" s="60"/>
      <c r="H11" s="60"/>
      <c r="I11" s="60"/>
      <c r="J11" s="60"/>
      <c r="K11" s="61">
        <f>K12+K13+K14</f>
        <v>85484</v>
      </c>
      <c r="L11" s="62">
        <f t="shared" si="3"/>
        <v>106000.16</v>
      </c>
      <c r="M11" s="61">
        <f>M12+M13+M14</f>
        <v>2374193.6129032257</v>
      </c>
      <c r="N11" s="62">
        <f t="shared" si="2"/>
        <v>2944000.08</v>
      </c>
      <c r="O11" s="61">
        <f aca="true" t="shared" si="5" ref="O11:O19">K11+M11</f>
        <v>2459677.6129032257</v>
      </c>
      <c r="P11" s="70">
        <f>SUM(P12:P14)</f>
        <v>3837000.24</v>
      </c>
      <c r="Q11" s="70">
        <f>SUM(Q12:Q14)</f>
        <v>600000</v>
      </c>
      <c r="R11" s="70">
        <f>SUM(R12:R14)</f>
        <v>0</v>
      </c>
      <c r="S11" s="70">
        <f>SUM(S12:S14)</f>
        <v>0</v>
      </c>
      <c r="T11" s="70">
        <f>SUM(T12:T14)</f>
        <v>3837000.24</v>
      </c>
    </row>
    <row r="12" spans="1:20" s="3" customFormat="1" ht="16.5">
      <c r="A12" s="63" t="s">
        <v>24</v>
      </c>
      <c r="B12" s="49" t="s">
        <v>6</v>
      </c>
      <c r="C12" s="49"/>
      <c r="D12" s="64"/>
      <c r="E12" s="64"/>
      <c r="F12" s="64"/>
      <c r="G12" s="64"/>
      <c r="H12" s="65"/>
      <c r="I12" s="65"/>
      <c r="J12" s="65"/>
      <c r="K12" s="47"/>
      <c r="L12" s="66">
        <f t="shared" si="3"/>
        <v>0</v>
      </c>
      <c r="M12" s="67">
        <f>2500000/1.24</f>
        <v>2016129.0322580645</v>
      </c>
      <c r="N12" s="46">
        <f t="shared" si="2"/>
        <v>2500000</v>
      </c>
      <c r="O12" s="68">
        <f t="shared" si="5"/>
        <v>2016129.0322580645</v>
      </c>
      <c r="P12" s="46">
        <v>3287000</v>
      </c>
      <c r="Q12" s="169"/>
      <c r="R12" s="169"/>
      <c r="S12" s="158"/>
      <c r="T12" s="158">
        <f>P12+S12</f>
        <v>3287000</v>
      </c>
    </row>
    <row r="13" spans="1:20" ht="16.5">
      <c r="A13" s="25" t="s">
        <v>25</v>
      </c>
      <c r="B13" s="49" t="s">
        <v>7</v>
      </c>
      <c r="C13" s="49"/>
      <c r="D13" s="40"/>
      <c r="E13" s="40"/>
      <c r="F13" s="40"/>
      <c r="G13" s="40"/>
      <c r="H13" s="42"/>
      <c r="I13" s="42"/>
      <c r="J13" s="42"/>
      <c r="K13" s="42">
        <v>85484</v>
      </c>
      <c r="L13" s="44">
        <f t="shared" si="3"/>
        <v>106000.16</v>
      </c>
      <c r="M13" s="45">
        <v>317742</v>
      </c>
      <c r="N13" s="46">
        <f t="shared" si="2"/>
        <v>394000.08</v>
      </c>
      <c r="O13" s="68">
        <f t="shared" si="5"/>
        <v>403226</v>
      </c>
      <c r="P13" s="44">
        <v>500000.24</v>
      </c>
      <c r="Q13" s="167">
        <v>600000</v>
      </c>
      <c r="R13" s="167"/>
      <c r="S13" s="168"/>
      <c r="T13" s="158">
        <f aca="true" t="shared" si="6" ref="T13:T21">P13+S13</f>
        <v>500000.24</v>
      </c>
    </row>
    <row r="14" spans="1:20" ht="16.5">
      <c r="A14" s="25" t="s">
        <v>27</v>
      </c>
      <c r="B14" s="69" t="s">
        <v>8</v>
      </c>
      <c r="C14" s="49"/>
      <c r="D14" s="40"/>
      <c r="E14" s="40"/>
      <c r="F14" s="40"/>
      <c r="G14" s="40"/>
      <c r="H14" s="42"/>
      <c r="I14" s="42"/>
      <c r="J14" s="42"/>
      <c r="K14" s="47"/>
      <c r="L14" s="46">
        <f t="shared" si="3"/>
        <v>0</v>
      </c>
      <c r="M14" s="45">
        <f>50000/1.24</f>
        <v>40322.58064516129</v>
      </c>
      <c r="N14" s="46">
        <f t="shared" si="2"/>
        <v>50000</v>
      </c>
      <c r="O14" s="68">
        <f t="shared" si="5"/>
        <v>40322.58064516129</v>
      </c>
      <c r="P14" s="46">
        <v>50000</v>
      </c>
      <c r="Q14" s="167"/>
      <c r="R14" s="167"/>
      <c r="S14" s="168"/>
      <c r="T14" s="158">
        <f t="shared" si="6"/>
        <v>50000</v>
      </c>
    </row>
    <row r="15" spans="1:20" ht="33">
      <c r="A15" s="57" t="s">
        <v>28</v>
      </c>
      <c r="B15" s="59" t="s">
        <v>9</v>
      </c>
      <c r="C15" s="59"/>
      <c r="D15" s="60"/>
      <c r="E15" s="60"/>
      <c r="F15" s="60"/>
      <c r="G15" s="60"/>
      <c r="H15" s="60"/>
      <c r="I15" s="60"/>
      <c r="J15" s="60"/>
      <c r="K15" s="60"/>
      <c r="L15" s="70">
        <f t="shared" si="3"/>
        <v>0</v>
      </c>
      <c r="M15" s="71">
        <f>3000000/1.24</f>
        <v>2419354.8387096776</v>
      </c>
      <c r="N15" s="62">
        <f t="shared" si="2"/>
        <v>3000000</v>
      </c>
      <c r="O15" s="71">
        <f t="shared" si="5"/>
        <v>2419354.8387096776</v>
      </c>
      <c r="P15" s="70">
        <v>3000000</v>
      </c>
      <c r="Q15" s="167"/>
      <c r="R15" s="167"/>
      <c r="S15" s="171">
        <v>966000</v>
      </c>
      <c r="T15" s="170">
        <f t="shared" si="6"/>
        <v>3966000</v>
      </c>
    </row>
    <row r="16" spans="1:20" ht="33">
      <c r="A16" s="72" t="s">
        <v>17</v>
      </c>
      <c r="B16" s="52" t="s">
        <v>32</v>
      </c>
      <c r="C16" s="53"/>
      <c r="D16" s="54"/>
      <c r="E16" s="73"/>
      <c r="F16" s="73"/>
      <c r="G16" s="73"/>
      <c r="H16" s="73"/>
      <c r="I16" s="73"/>
      <c r="J16" s="73"/>
      <c r="K16" s="73">
        <f>K17+K18+K19</f>
        <v>6154532.258064516</v>
      </c>
      <c r="L16" s="56">
        <f t="shared" si="3"/>
        <v>7631620</v>
      </c>
      <c r="M16" s="73">
        <f>M17+M18+M19</f>
        <v>1418854.8387096773</v>
      </c>
      <c r="N16" s="56">
        <f t="shared" si="2"/>
        <v>1759380</v>
      </c>
      <c r="O16" s="73">
        <f t="shared" si="5"/>
        <v>7573387.096774193</v>
      </c>
      <c r="P16" s="39">
        <f>SUM(P17:P19)</f>
        <v>9694000</v>
      </c>
      <c r="Q16" s="39">
        <f>SUM(Q17:Q19)</f>
        <v>2080000</v>
      </c>
      <c r="R16" s="39">
        <f>SUM(R17:R19)</f>
        <v>0</v>
      </c>
      <c r="S16" s="39">
        <f>SUM(S17:S19)</f>
        <v>3357000</v>
      </c>
      <c r="T16" s="39">
        <f>SUM(T17:T19)</f>
        <v>13051000</v>
      </c>
    </row>
    <row r="17" spans="1:20" ht="16.5">
      <c r="A17" s="25">
        <v>1</v>
      </c>
      <c r="B17" s="49" t="s">
        <v>61</v>
      </c>
      <c r="C17" s="74"/>
      <c r="D17" s="64"/>
      <c r="E17" s="64"/>
      <c r="F17" s="64"/>
      <c r="G17" s="64"/>
      <c r="H17" s="65"/>
      <c r="I17" s="65"/>
      <c r="J17" s="65"/>
      <c r="K17" s="45">
        <f>6391000/1.24</f>
        <v>5154032.258064516</v>
      </c>
      <c r="L17" s="75">
        <f t="shared" si="3"/>
        <v>6391000</v>
      </c>
      <c r="M17" s="67">
        <v>0</v>
      </c>
      <c r="N17" s="46">
        <f t="shared" si="2"/>
        <v>0</v>
      </c>
      <c r="O17" s="47">
        <f t="shared" si="5"/>
        <v>5154032.258064516</v>
      </c>
      <c r="P17" s="46">
        <v>6694000</v>
      </c>
      <c r="Q17" s="167"/>
      <c r="R17" s="167"/>
      <c r="S17" s="172">
        <f>3357000+160000</f>
        <v>3517000</v>
      </c>
      <c r="T17" s="158">
        <f t="shared" si="6"/>
        <v>10211000</v>
      </c>
    </row>
    <row r="18" spans="1:20" ht="33">
      <c r="A18" s="25">
        <v>2</v>
      </c>
      <c r="B18" s="49" t="s">
        <v>10</v>
      </c>
      <c r="C18" s="49"/>
      <c r="D18" s="40"/>
      <c r="E18" s="40"/>
      <c r="F18" s="40"/>
      <c r="G18" s="40"/>
      <c r="H18" s="42"/>
      <c r="I18" s="42"/>
      <c r="J18" s="42"/>
      <c r="K18" s="67">
        <v>1000500</v>
      </c>
      <c r="L18" s="76">
        <f t="shared" si="3"/>
        <v>1240620</v>
      </c>
      <c r="M18" s="45">
        <f>59380/1.24</f>
        <v>47887.096774193546</v>
      </c>
      <c r="N18" s="46">
        <f t="shared" si="2"/>
        <v>59379.99999999999</v>
      </c>
      <c r="O18" s="47">
        <f t="shared" si="5"/>
        <v>1048387.0967741936</v>
      </c>
      <c r="P18" s="46">
        <v>1300000</v>
      </c>
      <c r="Q18" s="167">
        <v>2000000</v>
      </c>
      <c r="R18" s="167"/>
      <c r="S18" s="168"/>
      <c r="T18" s="158">
        <f t="shared" si="6"/>
        <v>1300000</v>
      </c>
    </row>
    <row r="19" spans="1:20" ht="16.5">
      <c r="A19" s="25" t="s">
        <v>31</v>
      </c>
      <c r="B19" s="49" t="s">
        <v>60</v>
      </c>
      <c r="C19" s="49"/>
      <c r="D19" s="40"/>
      <c r="E19" s="40"/>
      <c r="F19" s="40"/>
      <c r="G19" s="40"/>
      <c r="H19" s="42"/>
      <c r="I19" s="42"/>
      <c r="J19" s="42"/>
      <c r="K19" s="42">
        <v>0</v>
      </c>
      <c r="L19" s="76">
        <f t="shared" si="3"/>
        <v>0</v>
      </c>
      <c r="M19" s="45">
        <f>1700000/1.24</f>
        <v>1370967.7419354839</v>
      </c>
      <c r="N19" s="46">
        <f t="shared" si="2"/>
        <v>1700000</v>
      </c>
      <c r="O19" s="47">
        <f t="shared" si="5"/>
        <v>1370967.7419354839</v>
      </c>
      <c r="P19" s="46">
        <v>1700000</v>
      </c>
      <c r="Q19" s="167">
        <v>80000</v>
      </c>
      <c r="R19" s="167"/>
      <c r="S19" s="168">
        <v>-160000</v>
      </c>
      <c r="T19" s="158">
        <f t="shared" si="6"/>
        <v>1540000</v>
      </c>
    </row>
    <row r="20" spans="1:20" ht="33">
      <c r="A20" s="72" t="s">
        <v>18</v>
      </c>
      <c r="B20" s="52" t="s">
        <v>34</v>
      </c>
      <c r="C20" s="138">
        <f aca="true" t="shared" si="7" ref="C20:O20">C21+C22+C23</f>
        <v>1.842</v>
      </c>
      <c r="D20" s="77" t="e">
        <f t="shared" si="7"/>
        <v>#REF!</v>
      </c>
      <c r="E20" s="77" t="e">
        <f t="shared" si="7"/>
        <v>#REF!</v>
      </c>
      <c r="F20" s="77" t="e">
        <f t="shared" si="7"/>
        <v>#REF!</v>
      </c>
      <c r="G20" s="77" t="e">
        <f t="shared" si="7"/>
        <v>#REF!</v>
      </c>
      <c r="H20" s="77" t="e">
        <f t="shared" si="7"/>
        <v>#REF!</v>
      </c>
      <c r="I20" s="77" t="e">
        <f t="shared" si="7"/>
        <v>#REF!</v>
      </c>
      <c r="J20" s="77" t="e">
        <f t="shared" si="7"/>
        <v>#REF!</v>
      </c>
      <c r="K20" s="77" t="e">
        <f t="shared" si="7"/>
        <v>#REF!</v>
      </c>
      <c r="L20" s="77" t="e">
        <f t="shared" si="7"/>
        <v>#REF!</v>
      </c>
      <c r="M20" s="77" t="e">
        <f t="shared" si="7"/>
        <v>#REF!</v>
      </c>
      <c r="N20" s="77" t="e">
        <f t="shared" si="7"/>
        <v>#REF!</v>
      </c>
      <c r="O20" s="77" t="e">
        <f t="shared" si="7"/>
        <v>#REF!</v>
      </c>
      <c r="P20" s="137">
        <f>SUM(P21:P23)</f>
        <v>5413000.14872</v>
      </c>
      <c r="Q20" s="137">
        <f>SUM(Q21:Q23)</f>
        <v>80000</v>
      </c>
      <c r="R20" s="137">
        <f>SUM(R21:R23)</f>
        <v>0</v>
      </c>
      <c r="S20" s="137">
        <f>SUM(S21:S23)</f>
        <v>0</v>
      </c>
      <c r="T20" s="137">
        <f>SUM(T21:T23)</f>
        <v>5413000.14872</v>
      </c>
    </row>
    <row r="21" spans="1:20" s="6" customFormat="1" ht="16.5">
      <c r="A21" s="130" t="s">
        <v>42</v>
      </c>
      <c r="B21" s="131" t="s">
        <v>62</v>
      </c>
      <c r="C21" s="132"/>
      <c r="D21" s="132"/>
      <c r="E21" s="132" t="e">
        <f>#REF!+#REF!</f>
        <v>#REF!</v>
      </c>
      <c r="F21" s="132"/>
      <c r="G21" s="132" t="e">
        <f>#REF!+#REF!</f>
        <v>#REF!</v>
      </c>
      <c r="H21" s="132" t="e">
        <f>#REF!+#REF!</f>
        <v>#REF!</v>
      </c>
      <c r="I21" s="132" t="e">
        <f>#REF!+#REF!</f>
        <v>#REF!</v>
      </c>
      <c r="J21" s="132" t="e">
        <f>#REF!+#REF!</f>
        <v>#REF!</v>
      </c>
      <c r="K21" s="132" t="e">
        <f>#REF!+#REF!</f>
        <v>#REF!</v>
      </c>
      <c r="L21" s="46" t="e">
        <f>K21*1.24</f>
        <v>#REF!</v>
      </c>
      <c r="M21" s="133" t="e">
        <f>#REF!+#REF!</f>
        <v>#REF!</v>
      </c>
      <c r="N21" s="46" t="e">
        <f>#REF!+#REF!</f>
        <v>#REF!</v>
      </c>
      <c r="O21" s="133" t="e">
        <f>#REF!+#REF!</f>
        <v>#REF!</v>
      </c>
      <c r="P21" s="44">
        <v>3100000.1736</v>
      </c>
      <c r="Q21" s="14"/>
      <c r="R21" s="14"/>
      <c r="S21" s="151"/>
      <c r="T21" s="158">
        <f t="shared" si="6"/>
        <v>3100000.1736</v>
      </c>
    </row>
    <row r="22" spans="1:20" s="6" customFormat="1" ht="16.5">
      <c r="A22" s="84" t="s">
        <v>20</v>
      </c>
      <c r="B22" s="131" t="s">
        <v>11</v>
      </c>
      <c r="C22" s="134">
        <v>1.842</v>
      </c>
      <c r="D22" s="135" t="e">
        <f>#REF!+#REF!</f>
        <v>#REF!</v>
      </c>
      <c r="E22" s="135" t="e">
        <f>#REF!+#REF!</f>
        <v>#REF!</v>
      </c>
      <c r="F22" s="135" t="e">
        <f>#REF!+#REF!</f>
        <v>#REF!</v>
      </c>
      <c r="G22" s="135" t="e">
        <f>#REF!+#REF!</f>
        <v>#REF!</v>
      </c>
      <c r="H22" s="135" t="e">
        <f>#REF!+#REF!</f>
        <v>#REF!</v>
      </c>
      <c r="I22" s="135" t="e">
        <f>#REF!+#REF!</f>
        <v>#REF!</v>
      </c>
      <c r="J22" s="135" t="e">
        <f>#REF!+#REF!</f>
        <v>#REF!</v>
      </c>
      <c r="K22" s="135" t="e">
        <f>#REF!+#REF!</f>
        <v>#REF!</v>
      </c>
      <c r="L22" s="135" t="e">
        <f>#REF!+#REF!</f>
        <v>#REF!</v>
      </c>
      <c r="M22" s="135" t="e">
        <f>#REF!+#REF!</f>
        <v>#REF!</v>
      </c>
      <c r="N22" s="135" t="e">
        <f>#REF!+#REF!</f>
        <v>#REF!</v>
      </c>
      <c r="O22" s="135" t="e">
        <f>#REF!+#REF!</f>
        <v>#REF!</v>
      </c>
      <c r="P22" s="135">
        <v>2262999.97512</v>
      </c>
      <c r="Q22" s="14"/>
      <c r="R22" s="14"/>
      <c r="S22" s="154"/>
      <c r="T22" s="154">
        <f aca="true" t="shared" si="8" ref="T22:T29">P22+S22</f>
        <v>2262999.97512</v>
      </c>
    </row>
    <row r="23" spans="1:20" ht="16.5">
      <c r="A23" s="84" t="s">
        <v>23</v>
      </c>
      <c r="B23" s="131" t="s">
        <v>33</v>
      </c>
      <c r="C23" s="78"/>
      <c r="D23" s="136"/>
      <c r="E23" s="136"/>
      <c r="F23" s="136"/>
      <c r="G23" s="136"/>
      <c r="H23" s="136"/>
      <c r="I23" s="136"/>
      <c r="J23" s="136"/>
      <c r="K23" s="136"/>
      <c r="L23" s="46">
        <f>K23*1.24</f>
        <v>0</v>
      </c>
      <c r="M23" s="133">
        <f>50000/1.24</f>
        <v>40322.58064516129</v>
      </c>
      <c r="N23" s="46">
        <f>M23*1.24</f>
        <v>50000</v>
      </c>
      <c r="O23" s="133">
        <f>K23+M23</f>
        <v>40322.58064516129</v>
      </c>
      <c r="P23" s="44">
        <v>50000</v>
      </c>
      <c r="Q23" s="167">
        <v>80000</v>
      </c>
      <c r="R23" s="167"/>
      <c r="S23" s="168"/>
      <c r="T23" s="154">
        <f t="shared" si="8"/>
        <v>50000</v>
      </c>
    </row>
    <row r="24" spans="1:20" s="6" customFormat="1" ht="49.5">
      <c r="A24" s="79" t="s">
        <v>21</v>
      </c>
      <c r="B24" s="80" t="s">
        <v>70</v>
      </c>
      <c r="C24" s="193"/>
      <c r="D24" s="81">
        <f aca="true" t="shared" si="9" ref="D24:O24">D25</f>
        <v>0</v>
      </c>
      <c r="E24" s="81" t="e">
        <f t="shared" si="9"/>
        <v>#REF!</v>
      </c>
      <c r="F24" s="81">
        <f t="shared" si="9"/>
        <v>0</v>
      </c>
      <c r="G24" s="81">
        <f t="shared" si="9"/>
        <v>0</v>
      </c>
      <c r="H24" s="81">
        <f t="shared" si="9"/>
        <v>0</v>
      </c>
      <c r="I24" s="81">
        <f t="shared" si="9"/>
        <v>0</v>
      </c>
      <c r="J24" s="81">
        <f t="shared" si="9"/>
        <v>0</v>
      </c>
      <c r="K24" s="81" t="e">
        <f t="shared" si="9"/>
        <v>#REF!</v>
      </c>
      <c r="L24" s="81" t="e">
        <f t="shared" si="9"/>
        <v>#REF!</v>
      </c>
      <c r="M24" s="81" t="e">
        <f t="shared" si="9"/>
        <v>#REF!</v>
      </c>
      <c r="N24" s="81" t="e">
        <f t="shared" si="9"/>
        <v>#REF!</v>
      </c>
      <c r="O24" s="81" t="e">
        <f t="shared" si="9"/>
        <v>#REF!</v>
      </c>
      <c r="P24" s="81">
        <f>P25</f>
        <v>17012999.782615468</v>
      </c>
      <c r="Q24" s="81">
        <f>Q25</f>
        <v>0</v>
      </c>
      <c r="R24" s="81">
        <f>R25</f>
        <v>0</v>
      </c>
      <c r="S24" s="81">
        <f>S25</f>
        <v>2817000</v>
      </c>
      <c r="T24" s="81">
        <f>T25</f>
        <v>19829999.782615468</v>
      </c>
    </row>
    <row r="25" spans="1:20" s="6" customFormat="1" ht="16.5">
      <c r="A25" s="51" t="s">
        <v>19</v>
      </c>
      <c r="B25" s="52" t="s">
        <v>22</v>
      </c>
      <c r="C25" s="186"/>
      <c r="D25" s="82">
        <f>D26+D27</f>
        <v>0</v>
      </c>
      <c r="E25" s="82" t="e">
        <f>E26+E27</f>
        <v>#REF!</v>
      </c>
      <c r="F25" s="83"/>
      <c r="G25" s="83"/>
      <c r="H25" s="83"/>
      <c r="I25" s="83"/>
      <c r="J25" s="83"/>
      <c r="K25" s="82" t="e">
        <f>K26+K27</f>
        <v>#REF!</v>
      </c>
      <c r="L25" s="56" t="e">
        <f>K25*1.24</f>
        <v>#REF!</v>
      </c>
      <c r="M25" s="82" t="e">
        <f>M26+M27</f>
        <v>#REF!</v>
      </c>
      <c r="N25" s="56" t="e">
        <f>M25*1.24</f>
        <v>#REF!</v>
      </c>
      <c r="O25" s="82" t="e">
        <f>O26+O27</f>
        <v>#REF!</v>
      </c>
      <c r="P25" s="39">
        <f>SUM(P26:P28)</f>
        <v>17012999.782615468</v>
      </c>
      <c r="Q25" s="39">
        <f>SUM(Q26:Q28)</f>
        <v>0</v>
      </c>
      <c r="R25" s="39">
        <f>SUM(R26:R28)</f>
        <v>0</v>
      </c>
      <c r="S25" s="39">
        <f>SUM(S26:S28)</f>
        <v>2817000</v>
      </c>
      <c r="T25" s="39">
        <f>SUM(T26:T28)</f>
        <v>19829999.782615468</v>
      </c>
    </row>
    <row r="26" spans="1:20" s="6" customFormat="1" ht="16.5">
      <c r="A26" s="84">
        <v>1</v>
      </c>
      <c r="B26" s="85" t="s">
        <v>72</v>
      </c>
      <c r="C26" s="78"/>
      <c r="D26" s="86"/>
      <c r="E26" s="86"/>
      <c r="F26" s="86"/>
      <c r="G26" s="86"/>
      <c r="H26" s="86"/>
      <c r="I26" s="86"/>
      <c r="J26" s="86"/>
      <c r="K26" s="86">
        <f>74000/1.24</f>
        <v>59677.41935483871</v>
      </c>
      <c r="L26" s="44">
        <f>K26*1.24</f>
        <v>74000</v>
      </c>
      <c r="M26" s="87">
        <f>2780000/1.24</f>
        <v>2241935.4838709678</v>
      </c>
      <c r="N26" s="44">
        <f>M26*1.24</f>
        <v>2780000</v>
      </c>
      <c r="O26" s="87">
        <f>K26+M26</f>
        <v>2301612.9032258065</v>
      </c>
      <c r="P26" s="44">
        <v>2929000</v>
      </c>
      <c r="Q26" s="14"/>
      <c r="R26" s="14"/>
      <c r="S26" s="154"/>
      <c r="T26" s="154">
        <f t="shared" si="8"/>
        <v>2929000</v>
      </c>
    </row>
    <row r="27" spans="1:20" ht="33">
      <c r="A27" s="84">
        <v>2</v>
      </c>
      <c r="B27" s="88" t="s">
        <v>68</v>
      </c>
      <c r="C27" s="184">
        <f>7.095+9.9</f>
        <v>16.995</v>
      </c>
      <c r="D27" s="86"/>
      <c r="E27" s="87" t="e">
        <f>#REF!+#REF!</f>
        <v>#REF!</v>
      </c>
      <c r="F27" s="87" t="e">
        <f>#REF!+#REF!</f>
        <v>#REF!</v>
      </c>
      <c r="G27" s="87" t="e">
        <f>#REF!+#REF!</f>
        <v>#REF!</v>
      </c>
      <c r="H27" s="87" t="e">
        <f>#REF!+#REF!</f>
        <v>#REF!</v>
      </c>
      <c r="I27" s="87" t="e">
        <f>#REF!+#REF!</f>
        <v>#REF!</v>
      </c>
      <c r="J27" s="87" t="e">
        <f>#REF!+#REF!</f>
        <v>#REF!</v>
      </c>
      <c r="K27" s="87" t="e">
        <f>#REF!+#REF!</f>
        <v>#REF!</v>
      </c>
      <c r="L27" s="87" t="e">
        <f>#REF!+#REF!</f>
        <v>#REF!</v>
      </c>
      <c r="M27" s="87" t="e">
        <f>#REF!+#REF!</f>
        <v>#REF!</v>
      </c>
      <c r="N27" s="87" t="e">
        <f>#REF!+#REF!</f>
        <v>#REF!</v>
      </c>
      <c r="O27" s="87" t="e">
        <f>#REF!+#REF!</f>
        <v>#REF!</v>
      </c>
      <c r="P27" s="87">
        <v>10183999.782615468</v>
      </c>
      <c r="Q27" s="167"/>
      <c r="R27" s="167"/>
      <c r="S27" s="154">
        <v>2817000</v>
      </c>
      <c r="T27" s="154">
        <f t="shared" si="8"/>
        <v>13000999.782615468</v>
      </c>
    </row>
    <row r="28" spans="1:20" ht="16.5">
      <c r="A28" s="187" t="s">
        <v>31</v>
      </c>
      <c r="B28" s="188" t="s">
        <v>94</v>
      </c>
      <c r="C28" s="149" t="s">
        <v>95</v>
      </c>
      <c r="D28" s="189"/>
      <c r="E28" s="190"/>
      <c r="F28" s="189"/>
      <c r="G28" s="190"/>
      <c r="H28" s="190"/>
      <c r="I28" s="190"/>
      <c r="J28" s="190"/>
      <c r="K28" s="190"/>
      <c r="L28" s="191"/>
      <c r="M28" s="190"/>
      <c r="N28" s="191"/>
      <c r="O28" s="190"/>
      <c r="P28" s="185">
        <f>SUM(P29)</f>
        <v>3900000</v>
      </c>
      <c r="Q28" s="185">
        <f>SUM(Q29)</f>
        <v>0</v>
      </c>
      <c r="R28" s="185">
        <f>SUM(R29)</f>
        <v>0</v>
      </c>
      <c r="S28" s="185">
        <f>SUM(S29)</f>
        <v>0</v>
      </c>
      <c r="T28" s="185">
        <f>SUM(T29)</f>
        <v>3900000</v>
      </c>
    </row>
    <row r="29" spans="1:20" ht="33">
      <c r="A29" s="13" t="s">
        <v>96</v>
      </c>
      <c r="B29" s="173" t="s">
        <v>99</v>
      </c>
      <c r="C29" s="163" t="s">
        <v>95</v>
      </c>
      <c r="D29" s="155"/>
      <c r="E29" s="175"/>
      <c r="F29" s="155"/>
      <c r="G29" s="175"/>
      <c r="H29" s="175"/>
      <c r="I29" s="175"/>
      <c r="J29" s="176"/>
      <c r="K29" s="176"/>
      <c r="L29" s="177"/>
      <c r="M29" s="162"/>
      <c r="N29" s="177"/>
      <c r="O29" s="162"/>
      <c r="P29" s="177">
        <v>3900000</v>
      </c>
      <c r="Q29" s="178"/>
      <c r="R29" s="178"/>
      <c r="S29" s="192"/>
      <c r="T29" s="192">
        <f t="shared" si="8"/>
        <v>3900000</v>
      </c>
    </row>
    <row r="30" spans="1:18" ht="15">
      <c r="A30" s="15"/>
      <c r="B30" s="16"/>
      <c r="C30" s="17"/>
      <c r="D30" s="18"/>
      <c r="E30" s="19"/>
      <c r="F30" s="18"/>
      <c r="G30" s="19"/>
      <c r="H30" s="19"/>
      <c r="I30" s="19"/>
      <c r="J30" s="20"/>
      <c r="K30" s="20"/>
      <c r="L30" s="21"/>
      <c r="M30" s="22"/>
      <c r="N30" s="21"/>
      <c r="O30" s="22"/>
      <c r="P30" s="21"/>
      <c r="Q30" s="23"/>
      <c r="R30" s="23"/>
    </row>
    <row r="31" spans="1:20" ht="16.5">
      <c r="A31" s="196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</row>
    <row r="32" spans="2:20" ht="16.5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5"/>
      <c r="R32" s="195"/>
      <c r="S32" s="195"/>
      <c r="T32" s="195"/>
    </row>
    <row r="34" spans="1:3" ht="15">
      <c r="A34" s="5"/>
      <c r="C34" s="5"/>
    </row>
    <row r="35" spans="1:3" ht="15">
      <c r="A35" s="5"/>
      <c r="B35" s="5"/>
      <c r="C35" s="5"/>
    </row>
    <row r="36" spans="2:3" ht="15">
      <c r="B36" s="2"/>
      <c r="C36" s="2"/>
    </row>
  </sheetData>
  <sheetProtection/>
  <mergeCells count="3">
    <mergeCell ref="B32:T32"/>
    <mergeCell ref="A31:T31"/>
    <mergeCell ref="A1:T1"/>
  </mergeCells>
  <printOptions horizontalCentered="1"/>
  <pageMargins left="0.8267716535433072" right="0" top="1.141732283464567" bottom="0.4330708661417323" header="0.31496062992125984" footer="0"/>
  <pageSetup horizontalDpi="300" verticalDpi="300" orientation="portrait" paperSize="9" scale="80" r:id="rId1"/>
  <headerFooter alignWithMargins="0">
    <oddHeader>&amp;L&amp;"Trebuchet MS,Aldin"&amp;12ROMÂNIA
JUDEŢUL MUREŞ
CONSILIUL JUDEŢENA MUREŞ&amp;R&amp;"Trebuchet MS,Aldin"&amp;12Anexa nr.9/c la HCJM nr.        /_____.2014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PageLayoutView="0" workbookViewId="0" topLeftCell="A1">
      <pane ySplit="8" topLeftCell="A22" activePane="bottomLeft" state="frozen"/>
      <selection pane="topLeft" activeCell="O52" sqref="O52"/>
      <selection pane="bottomLeft" activeCell="L8" sqref="L8"/>
    </sheetView>
  </sheetViews>
  <sheetFormatPr defaultColWidth="9.140625" defaultRowHeight="15"/>
  <cols>
    <col min="1" max="1" width="5.140625" style="12" customWidth="1"/>
    <col min="2" max="2" width="67.00390625" style="12" customWidth="1"/>
    <col min="3" max="3" width="10.28125" style="12" customWidth="1"/>
    <col min="4" max="4" width="12.140625" style="12" customWidth="1"/>
    <col min="5" max="5" width="13.57421875" style="12" customWidth="1"/>
    <col min="6" max="6" width="14.421875" style="12" hidden="1" customWidth="1"/>
    <col min="7" max="7" width="12.57421875" style="12" hidden="1" customWidth="1"/>
    <col min="8" max="8" width="11.7109375" style="12" hidden="1" customWidth="1"/>
    <col min="9" max="9" width="12.8515625" style="12" hidden="1" customWidth="1"/>
    <col min="10" max="10" width="11.57421875" style="12" hidden="1" customWidth="1"/>
    <col min="11" max="11" width="13.00390625" style="10" bestFit="1" customWidth="1"/>
    <col min="12" max="12" width="14.421875" style="10" customWidth="1"/>
    <col min="13" max="62" width="9.140625" style="10" customWidth="1"/>
    <col min="63" max="16384" width="9.140625" style="11" customWidth="1"/>
  </cols>
  <sheetData>
    <row r="1" spans="1:62" s="148" customFormat="1" ht="16.5">
      <c r="A1" s="146"/>
      <c r="B1" s="146" t="s">
        <v>89</v>
      </c>
      <c r="C1" s="146"/>
      <c r="D1" s="205" t="s">
        <v>102</v>
      </c>
      <c r="E1" s="206"/>
      <c r="F1" s="206"/>
      <c r="G1" s="206"/>
      <c r="H1" s="206"/>
      <c r="I1" s="206"/>
      <c r="J1" s="206"/>
      <c r="K1" s="206"/>
      <c r="L1" s="206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</row>
    <row r="2" spans="1:62" s="148" customFormat="1" ht="16.5">
      <c r="A2" s="146"/>
      <c r="B2" s="146" t="s">
        <v>90</v>
      </c>
      <c r="C2" s="146"/>
      <c r="D2" s="146"/>
      <c r="E2" s="146"/>
      <c r="F2" s="146"/>
      <c r="G2" s="146"/>
      <c r="H2" s="146"/>
      <c r="I2" s="146"/>
      <c r="J2" s="146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</row>
    <row r="3" spans="1:62" s="148" customFormat="1" ht="16.5">
      <c r="A3" s="146"/>
      <c r="B3" s="146" t="s">
        <v>91</v>
      </c>
      <c r="C3" s="146"/>
      <c r="D3" s="146"/>
      <c r="E3" s="146"/>
      <c r="F3" s="146"/>
      <c r="G3" s="146"/>
      <c r="H3" s="146"/>
      <c r="I3" s="146"/>
      <c r="J3" s="146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</row>
    <row r="4" spans="1:5" ht="18.75">
      <c r="A4" s="93"/>
      <c r="B4" s="93"/>
      <c r="C4" s="93"/>
      <c r="D4" s="93"/>
      <c r="E4" s="93"/>
    </row>
    <row r="5" spans="1:12" ht="18.75">
      <c r="A5" s="200" t="s">
        <v>63</v>
      </c>
      <c r="B5" s="200"/>
      <c r="C5" s="200"/>
      <c r="D5" s="200"/>
      <c r="E5" s="200"/>
      <c r="F5" s="201"/>
      <c r="G5" s="201"/>
      <c r="H5" s="201"/>
      <c r="I5" s="201"/>
      <c r="J5" s="201"/>
      <c r="K5" s="201"/>
      <c r="L5" s="201"/>
    </row>
    <row r="6" spans="1:12" ht="18.75">
      <c r="A6" s="200" t="s">
        <v>71</v>
      </c>
      <c r="B6" s="200"/>
      <c r="C6" s="200"/>
      <c r="D6" s="200"/>
      <c r="E6" s="200"/>
      <c r="F6" s="201"/>
      <c r="G6" s="201"/>
      <c r="H6" s="201"/>
      <c r="I6" s="201"/>
      <c r="J6" s="201"/>
      <c r="K6" s="201"/>
      <c r="L6" s="201"/>
    </row>
    <row r="7" spans="1:5" ht="15">
      <c r="A7" s="216"/>
      <c r="B7" s="216"/>
      <c r="C7" s="216"/>
      <c r="D7" s="216"/>
      <c r="E7" s="216"/>
    </row>
    <row r="8" spans="1:12" ht="87" customHeight="1">
      <c r="A8" s="123" t="s">
        <v>56</v>
      </c>
      <c r="B8" s="94" t="s">
        <v>67</v>
      </c>
      <c r="C8" s="95" t="s">
        <v>41</v>
      </c>
      <c r="D8" s="96" t="s">
        <v>66</v>
      </c>
      <c r="E8" s="96" t="s">
        <v>76</v>
      </c>
      <c r="F8" s="9" t="s">
        <v>51</v>
      </c>
      <c r="G8" s="9" t="s">
        <v>52</v>
      </c>
      <c r="H8" s="9" t="s">
        <v>54</v>
      </c>
      <c r="I8" s="9" t="s">
        <v>53</v>
      </c>
      <c r="J8" s="9" t="s">
        <v>55</v>
      </c>
      <c r="K8" s="114" t="s">
        <v>75</v>
      </c>
      <c r="L8" s="114" t="s">
        <v>105</v>
      </c>
    </row>
    <row r="9" spans="1:12" ht="33">
      <c r="A9" s="124">
        <v>1</v>
      </c>
      <c r="B9" s="107" t="s">
        <v>46</v>
      </c>
      <c r="C9" s="116">
        <v>18.4</v>
      </c>
      <c r="D9" s="98">
        <v>59677</v>
      </c>
      <c r="E9" s="149">
        <v>73999</v>
      </c>
      <c r="F9" s="150"/>
      <c r="G9" s="150"/>
      <c r="H9" s="150"/>
      <c r="I9" s="150"/>
      <c r="J9" s="150"/>
      <c r="K9" s="151"/>
      <c r="L9" s="154">
        <f>E9</f>
        <v>73999</v>
      </c>
    </row>
    <row r="10" spans="1:12" ht="33">
      <c r="A10" s="124">
        <v>2</v>
      </c>
      <c r="B10" s="107" t="s">
        <v>77</v>
      </c>
      <c r="C10" s="117"/>
      <c r="D10" s="115"/>
      <c r="E10" s="149">
        <v>4204</v>
      </c>
      <c r="F10" s="150"/>
      <c r="G10" s="150"/>
      <c r="H10" s="150"/>
      <c r="I10" s="150"/>
      <c r="J10" s="150"/>
      <c r="K10" s="151"/>
      <c r="L10" s="154">
        <f>E10</f>
        <v>4204</v>
      </c>
    </row>
    <row r="11" spans="1:12" ht="115.5">
      <c r="A11" s="217">
        <v>3</v>
      </c>
      <c r="B11" s="144" t="s">
        <v>92</v>
      </c>
      <c r="C11" s="145" t="s">
        <v>87</v>
      </c>
      <c r="D11" s="213"/>
      <c r="E11" s="220">
        <v>2460000</v>
      </c>
      <c r="F11" s="153">
        <v>224500000</v>
      </c>
      <c r="G11" s="153">
        <f aca="true" t="shared" si="0" ref="G11:G21">F11/1.24</f>
        <v>181048387.0967742</v>
      </c>
      <c r="H11" s="153">
        <f aca="true" t="shared" si="1" ref="H11:H21">G11*3.5/100</f>
        <v>6336693.548387097</v>
      </c>
      <c r="I11" s="154">
        <f aca="true" t="shared" si="2" ref="I11:I21">H11*0.4</f>
        <v>2534677.4193548393</v>
      </c>
      <c r="J11" s="155"/>
      <c r="K11" s="210"/>
      <c r="L11" s="207">
        <v>2460000</v>
      </c>
    </row>
    <row r="12" spans="1:12" ht="99" customHeight="1" hidden="1">
      <c r="A12" s="218"/>
      <c r="B12" s="142" t="s">
        <v>78</v>
      </c>
      <c r="C12" s="143"/>
      <c r="D12" s="214"/>
      <c r="E12" s="221"/>
      <c r="F12" s="150"/>
      <c r="G12" s="157">
        <f t="shared" si="0"/>
        <v>0</v>
      </c>
      <c r="H12" s="157">
        <f t="shared" si="1"/>
        <v>0</v>
      </c>
      <c r="I12" s="158">
        <f t="shared" si="2"/>
        <v>0</v>
      </c>
      <c r="J12" s="150"/>
      <c r="K12" s="211"/>
      <c r="L12" s="208"/>
    </row>
    <row r="13" spans="1:12" ht="72.75" customHeight="1" hidden="1">
      <c r="A13" s="218"/>
      <c r="B13" s="107" t="s">
        <v>47</v>
      </c>
      <c r="C13" s="119" t="s">
        <v>49</v>
      </c>
      <c r="D13" s="214"/>
      <c r="E13" s="221"/>
      <c r="F13" s="159">
        <v>70088333.9</v>
      </c>
      <c r="G13" s="157">
        <f t="shared" si="0"/>
        <v>56522849.91935484</v>
      </c>
      <c r="H13" s="157">
        <f t="shared" si="1"/>
        <v>1978299.7471774193</v>
      </c>
      <c r="I13" s="158">
        <f t="shared" si="2"/>
        <v>791319.8988709678</v>
      </c>
      <c r="J13" s="150"/>
      <c r="K13" s="211"/>
      <c r="L13" s="208"/>
    </row>
    <row r="14" spans="1:12" ht="49.5" customHeight="1" hidden="1">
      <c r="A14" s="218"/>
      <c r="B14" s="107" t="s">
        <v>79</v>
      </c>
      <c r="C14" s="117"/>
      <c r="D14" s="214"/>
      <c r="E14" s="221"/>
      <c r="F14" s="150"/>
      <c r="G14" s="157">
        <f t="shared" si="0"/>
        <v>0</v>
      </c>
      <c r="H14" s="157">
        <f t="shared" si="1"/>
        <v>0</v>
      </c>
      <c r="I14" s="158">
        <f t="shared" si="2"/>
        <v>0</v>
      </c>
      <c r="J14" s="150"/>
      <c r="K14" s="211"/>
      <c r="L14" s="208"/>
    </row>
    <row r="15" spans="1:12" ht="66" customHeight="1" hidden="1">
      <c r="A15" s="218"/>
      <c r="B15" s="107" t="s">
        <v>48</v>
      </c>
      <c r="C15" s="118" t="s">
        <v>80</v>
      </c>
      <c r="D15" s="214"/>
      <c r="E15" s="221"/>
      <c r="F15" s="150">
        <v>88875643.8</v>
      </c>
      <c r="G15" s="157">
        <f t="shared" si="0"/>
        <v>71673906.29032257</v>
      </c>
      <c r="H15" s="157">
        <f t="shared" si="1"/>
        <v>2508586.7201612904</v>
      </c>
      <c r="I15" s="158">
        <f t="shared" si="2"/>
        <v>1003434.6880645162</v>
      </c>
      <c r="J15" s="150"/>
      <c r="K15" s="211"/>
      <c r="L15" s="208"/>
    </row>
    <row r="16" spans="1:12" ht="49.5" customHeight="1" hidden="1">
      <c r="A16" s="218"/>
      <c r="B16" s="139" t="s">
        <v>81</v>
      </c>
      <c r="C16" s="140"/>
      <c r="D16" s="214"/>
      <c r="E16" s="221"/>
      <c r="F16" s="150"/>
      <c r="G16" s="157">
        <f t="shared" si="0"/>
        <v>0</v>
      </c>
      <c r="H16" s="157">
        <f t="shared" si="1"/>
        <v>0</v>
      </c>
      <c r="I16" s="158">
        <f t="shared" si="2"/>
        <v>0</v>
      </c>
      <c r="J16" s="150"/>
      <c r="K16" s="211"/>
      <c r="L16" s="208"/>
    </row>
    <row r="17" spans="1:12" ht="99">
      <c r="A17" s="219"/>
      <c r="B17" s="142" t="s">
        <v>88</v>
      </c>
      <c r="C17" s="141" t="s">
        <v>86</v>
      </c>
      <c r="D17" s="215"/>
      <c r="E17" s="222"/>
      <c r="F17" s="150"/>
      <c r="G17" s="157"/>
      <c r="H17" s="157"/>
      <c r="I17" s="158"/>
      <c r="J17" s="150"/>
      <c r="K17" s="212"/>
      <c r="L17" s="209"/>
    </row>
    <row r="18" spans="1:12" s="8" customFormat="1" ht="49.5">
      <c r="A18" s="124">
        <v>4</v>
      </c>
      <c r="B18" s="108" t="s">
        <v>82</v>
      </c>
      <c r="C18" s="120">
        <v>0.842</v>
      </c>
      <c r="D18" s="98"/>
      <c r="E18" s="149">
        <v>620</v>
      </c>
      <c r="F18" s="162"/>
      <c r="G18" s="157">
        <f t="shared" si="0"/>
        <v>0</v>
      </c>
      <c r="H18" s="157">
        <f t="shared" si="1"/>
        <v>0</v>
      </c>
      <c r="I18" s="158">
        <f t="shared" si="2"/>
        <v>0</v>
      </c>
      <c r="J18" s="162"/>
      <c r="K18" s="163"/>
      <c r="L18" s="154">
        <f>E18</f>
        <v>620</v>
      </c>
    </row>
    <row r="19" spans="1:12" ht="16.5">
      <c r="A19" s="124">
        <v>5</v>
      </c>
      <c r="B19" s="108" t="s">
        <v>83</v>
      </c>
      <c r="C19" s="121">
        <v>1</v>
      </c>
      <c r="D19" s="99"/>
      <c r="E19" s="152">
        <v>620</v>
      </c>
      <c r="F19" s="150"/>
      <c r="G19" s="157">
        <f t="shared" si="0"/>
        <v>0</v>
      </c>
      <c r="H19" s="157">
        <f t="shared" si="1"/>
        <v>0</v>
      </c>
      <c r="I19" s="158">
        <f t="shared" si="2"/>
        <v>0</v>
      </c>
      <c r="J19" s="158">
        <f>H19-I19</f>
        <v>0</v>
      </c>
      <c r="K19" s="156"/>
      <c r="L19" s="154">
        <f>E19</f>
        <v>620</v>
      </c>
    </row>
    <row r="20" spans="1:12" ht="49.5" customHeight="1">
      <c r="A20" s="124">
        <v>6</v>
      </c>
      <c r="B20" s="109" t="s">
        <v>69</v>
      </c>
      <c r="C20" s="100">
        <v>3</v>
      </c>
      <c r="D20" s="99"/>
      <c r="E20" s="152">
        <v>200457</v>
      </c>
      <c r="F20" s="164">
        <v>5944673</v>
      </c>
      <c r="G20" s="157">
        <f t="shared" si="0"/>
        <v>4794091.129032258</v>
      </c>
      <c r="H20" s="157">
        <f t="shared" si="1"/>
        <v>167793.18951612906</v>
      </c>
      <c r="I20" s="158">
        <f t="shared" si="2"/>
        <v>67117.27580645162</v>
      </c>
      <c r="J20" s="165">
        <f>H20-I20</f>
        <v>100675.91370967744</v>
      </c>
      <c r="K20" s="156"/>
      <c r="L20" s="179">
        <v>200457</v>
      </c>
    </row>
    <row r="21" spans="1:12" ht="33">
      <c r="A21" s="124">
        <v>7</v>
      </c>
      <c r="B21" s="110" t="s">
        <v>85</v>
      </c>
      <c r="C21" s="101"/>
      <c r="D21" s="102"/>
      <c r="E21" s="160"/>
      <c r="F21" s="164"/>
      <c r="G21" s="157">
        <f t="shared" si="0"/>
        <v>0</v>
      </c>
      <c r="H21" s="157">
        <f t="shared" si="1"/>
        <v>0</v>
      </c>
      <c r="I21" s="158">
        <f t="shared" si="2"/>
        <v>0</v>
      </c>
      <c r="J21" s="165">
        <f>H21-I21</f>
        <v>0</v>
      </c>
      <c r="K21" s="161"/>
      <c r="L21" s="180"/>
    </row>
    <row r="22" spans="1:12" ht="33">
      <c r="A22" s="124">
        <v>8</v>
      </c>
      <c r="B22" s="111" t="s">
        <v>98</v>
      </c>
      <c r="C22" s="103"/>
      <c r="D22" s="104"/>
      <c r="E22" s="160">
        <v>5712000</v>
      </c>
      <c r="F22" s="150"/>
      <c r="G22" s="157"/>
      <c r="H22" s="157"/>
      <c r="I22" s="158"/>
      <c r="J22" s="158"/>
      <c r="K22" s="161"/>
      <c r="L22" s="180">
        <f>E22</f>
        <v>5712000</v>
      </c>
    </row>
    <row r="23" spans="1:12" ht="33">
      <c r="A23" s="124">
        <v>9</v>
      </c>
      <c r="B23" s="108" t="s">
        <v>64</v>
      </c>
      <c r="C23" s="105">
        <v>4.095</v>
      </c>
      <c r="D23" s="98"/>
      <c r="E23" s="149">
        <v>188480</v>
      </c>
      <c r="F23" s="150"/>
      <c r="G23" s="157"/>
      <c r="H23" s="157"/>
      <c r="I23" s="158"/>
      <c r="J23" s="158"/>
      <c r="K23" s="151"/>
      <c r="L23" s="180">
        <f>E23</f>
        <v>188480</v>
      </c>
    </row>
    <row r="24" spans="1:12" ht="33">
      <c r="A24" s="124">
        <v>10</v>
      </c>
      <c r="B24" s="112" t="s">
        <v>65</v>
      </c>
      <c r="C24" s="120"/>
      <c r="D24" s="98"/>
      <c r="E24" s="149">
        <v>620</v>
      </c>
      <c r="F24" s="150"/>
      <c r="G24" s="157">
        <f>F24/1.24</f>
        <v>0</v>
      </c>
      <c r="H24" s="157">
        <f>G24*3.5/100</f>
        <v>0</v>
      </c>
      <c r="I24" s="158">
        <f>H24*0.4</f>
        <v>0</v>
      </c>
      <c r="J24" s="158">
        <f>H24-I24</f>
        <v>0</v>
      </c>
      <c r="K24" s="151"/>
      <c r="L24" s="180">
        <f>E24</f>
        <v>620</v>
      </c>
    </row>
    <row r="25" spans="1:12" ht="33">
      <c r="A25" s="124">
        <v>11</v>
      </c>
      <c r="B25" s="108" t="s">
        <v>97</v>
      </c>
      <c r="C25" s="105">
        <v>4.095</v>
      </c>
      <c r="D25" s="98"/>
      <c r="E25" s="149">
        <v>4472000</v>
      </c>
      <c r="F25" s="150"/>
      <c r="G25" s="157"/>
      <c r="H25" s="157"/>
      <c r="I25" s="158"/>
      <c r="J25" s="158"/>
      <c r="K25" s="154">
        <f>-2816500+2817000</f>
        <v>500</v>
      </c>
      <c r="L25" s="154">
        <f>E25+K25</f>
        <v>4472500</v>
      </c>
    </row>
    <row r="26" spans="1:12" ht="16.5">
      <c r="A26" s="124">
        <v>12</v>
      </c>
      <c r="B26" s="174" t="s">
        <v>94</v>
      </c>
      <c r="C26" s="181"/>
      <c r="D26" s="182"/>
      <c r="E26" s="183">
        <f>SUM(E27)</f>
        <v>3900000</v>
      </c>
      <c r="F26" s="183">
        <f aca="true" t="shared" si="3" ref="F26:L26">SUM(F27)</f>
        <v>0</v>
      </c>
      <c r="G26" s="183">
        <f t="shared" si="3"/>
        <v>0</v>
      </c>
      <c r="H26" s="183">
        <f t="shared" si="3"/>
        <v>0</v>
      </c>
      <c r="I26" s="183">
        <f t="shared" si="3"/>
        <v>0</v>
      </c>
      <c r="J26" s="183">
        <f t="shared" si="3"/>
        <v>0</v>
      </c>
      <c r="K26" s="183">
        <f t="shared" si="3"/>
        <v>0</v>
      </c>
      <c r="L26" s="183">
        <f t="shared" si="3"/>
        <v>3900000</v>
      </c>
    </row>
    <row r="27" spans="1:12" ht="16.5">
      <c r="A27" s="124"/>
      <c r="B27" s="173" t="s">
        <v>101</v>
      </c>
      <c r="C27" s="105" t="s">
        <v>95</v>
      </c>
      <c r="D27" s="98"/>
      <c r="E27" s="149">
        <v>3900000</v>
      </c>
      <c r="F27" s="150"/>
      <c r="G27" s="157"/>
      <c r="H27" s="157"/>
      <c r="I27" s="158"/>
      <c r="J27" s="158"/>
      <c r="K27" s="151"/>
      <c r="L27" s="154">
        <f>E27+K27</f>
        <v>3900000</v>
      </c>
    </row>
    <row r="28" spans="1:12" ht="49.5">
      <c r="A28" s="124">
        <v>13</v>
      </c>
      <c r="B28" s="173" t="s">
        <v>103</v>
      </c>
      <c r="C28" s="105">
        <v>9.9</v>
      </c>
      <c r="D28" s="98"/>
      <c r="E28" s="149"/>
      <c r="F28" s="150"/>
      <c r="G28" s="157"/>
      <c r="H28" s="157"/>
      <c r="I28" s="158"/>
      <c r="J28" s="158"/>
      <c r="K28" s="151">
        <v>2816500</v>
      </c>
      <c r="L28" s="154">
        <f>E28+K28</f>
        <v>2816500</v>
      </c>
    </row>
    <row r="29" spans="1:12" ht="16.5">
      <c r="A29" s="125"/>
      <c r="B29" s="113" t="s">
        <v>39</v>
      </c>
      <c r="C29" s="122"/>
      <c r="D29" s="106">
        <f>SUM(D9:D24)</f>
        <v>59677</v>
      </c>
      <c r="E29" s="166">
        <f>SUM(E9:E26)+E28</f>
        <v>17013000</v>
      </c>
      <c r="F29" s="166">
        <f aca="true" t="shared" si="4" ref="F29:L29">SUM(F9:F26)+F28</f>
        <v>389408650.7</v>
      </c>
      <c r="G29" s="166">
        <f t="shared" si="4"/>
        <v>314039234.4354838</v>
      </c>
      <c r="H29" s="166">
        <f t="shared" si="4"/>
        <v>10991373.205241935</v>
      </c>
      <c r="I29" s="166">
        <f t="shared" si="4"/>
        <v>4396549.282096774</v>
      </c>
      <c r="J29" s="166">
        <f t="shared" si="4"/>
        <v>100675.91370967744</v>
      </c>
      <c r="K29" s="166">
        <f t="shared" si="4"/>
        <v>2817000</v>
      </c>
      <c r="L29" s="166">
        <f t="shared" si="4"/>
        <v>19830000</v>
      </c>
    </row>
    <row r="30" spans="11:12" ht="15">
      <c r="K30" s="97"/>
      <c r="L30" s="97"/>
    </row>
    <row r="31" spans="2:12" ht="18">
      <c r="B31" s="202"/>
      <c r="C31" s="203"/>
      <c r="D31" s="203"/>
      <c r="E31" s="203"/>
      <c r="F31" s="203"/>
      <c r="G31" s="203"/>
      <c r="H31" s="203"/>
      <c r="I31" s="203"/>
      <c r="J31" s="203"/>
      <c r="K31" s="203"/>
      <c r="L31" s="203"/>
    </row>
    <row r="32" spans="2:12" ht="15">
      <c r="B32" s="204"/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</sheetData>
  <sheetProtection/>
  <mergeCells count="11">
    <mergeCell ref="E11:E17"/>
    <mergeCell ref="A5:L5"/>
    <mergeCell ref="B31:L31"/>
    <mergeCell ref="B32:L32"/>
    <mergeCell ref="A6:L6"/>
    <mergeCell ref="D1:L1"/>
    <mergeCell ref="L11:L17"/>
    <mergeCell ref="K11:K17"/>
    <mergeCell ref="D11:D17"/>
    <mergeCell ref="A7:E7"/>
    <mergeCell ref="A11:A17"/>
  </mergeCells>
  <printOptions/>
  <pageMargins left="0.7874015748031497" right="0" top="0.984251968503937" bottom="0.42" header="0.7874015748031497" footer="0.17"/>
  <pageSetup horizontalDpi="600" verticalDpi="600" orientation="landscape" paperSize="9" scale="99" r:id="rId1"/>
  <headerFooter alignWithMargins="0">
    <oddFooter>&amp;C&amp;P</oddFooter>
  </headerFooter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2014-09-02T11:15:40Z</cp:lastPrinted>
  <dcterms:created xsi:type="dcterms:W3CDTF">2006-11-28T13:39:51Z</dcterms:created>
  <dcterms:modified xsi:type="dcterms:W3CDTF">2014-11-03T10:03:48Z</dcterms:modified>
  <cp:category/>
  <cp:version/>
  <cp:contentType/>
  <cp:contentStatus/>
</cp:coreProperties>
</file>