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326" windowWidth="11340" windowHeight="6630" tabRatio="769" activeTab="2"/>
  </bookViews>
  <sheets>
    <sheet name="cond oct" sheetId="1" r:id="rId1"/>
    <sheet name="consilieri" sheetId="2" r:id="rId2"/>
    <sheet name="Bataga" sheetId="3" r:id="rId3"/>
    <sheet name="Direcţia I" sheetId="4" r:id="rId4"/>
    <sheet name="Direcţia II" sheetId="5" r:id="rId5"/>
    <sheet name="Direcţia III" sheetId="6" r:id="rId6"/>
    <sheet name="Direcţia IV" sheetId="7" r:id="rId7"/>
    <sheet name="Audit" sheetId="8" r:id="rId8"/>
    <sheet name="Sheet1" sheetId="9" state="hidden" r:id="rId9"/>
    <sheet name="16.10 ung" sheetId="10" state="hidden" r:id="rId10"/>
    <sheet name="centralizator" sheetId="11" r:id="rId11"/>
    <sheet name="Sheet2" sheetId="12" r:id="rId12"/>
    <sheet name="Determ" sheetId="13" r:id="rId13"/>
  </sheets>
  <definedNames/>
  <calcPr fullCalcOnLoad="1"/>
</workbook>
</file>

<file path=xl/comments13.xml><?xml version="1.0" encoding="utf-8"?>
<comments xmlns="http://schemas.openxmlformats.org/spreadsheetml/2006/main">
  <authors>
    <author>Doris</author>
  </authors>
  <commentList>
    <comment ref="C15" authorId="0">
      <text>
        <r>
          <rPr>
            <b/>
            <sz val="8"/>
            <rFont val="Tahoma"/>
            <family val="0"/>
          </rPr>
          <t>Doris:</t>
        </r>
        <r>
          <rPr>
            <sz val="8"/>
            <rFont val="Tahoma"/>
            <family val="0"/>
          </rPr>
          <t xml:space="preserve">
Dascalu Ligia</t>
        </r>
      </text>
    </comment>
  </commentList>
</comments>
</file>

<file path=xl/sharedStrings.xml><?xml version="1.0" encoding="utf-8"?>
<sst xmlns="http://schemas.openxmlformats.org/spreadsheetml/2006/main" count="2399" uniqueCount="601">
  <si>
    <t>CONSILIUL JUDEŢEAN MUREŞ</t>
  </si>
  <si>
    <t>STAT DE PERSONAL</t>
  </si>
  <si>
    <t>Se aprobă</t>
  </si>
  <si>
    <t>PREŞEDINTE</t>
  </si>
  <si>
    <t>Nr.crt.</t>
  </si>
  <si>
    <t>Funcţia</t>
  </si>
  <si>
    <t>de execuţie</t>
  </si>
  <si>
    <t>de conducere</t>
  </si>
  <si>
    <t>Numele şi prenumele</t>
  </si>
  <si>
    <t>Nivelul</t>
  </si>
  <si>
    <t>studiilor</t>
  </si>
  <si>
    <t>Punctajul</t>
  </si>
  <si>
    <t>acordat</t>
  </si>
  <si>
    <t>postului</t>
  </si>
  <si>
    <t>Evaluarea</t>
  </si>
  <si>
    <t>perf.prof.</t>
  </si>
  <si>
    <t>punctaj</t>
  </si>
  <si>
    <t>Salar de bază</t>
  </si>
  <si>
    <t>Indemniz.</t>
  </si>
  <si>
    <t>de cond.</t>
  </si>
  <si>
    <t>merit</t>
  </si>
  <si>
    <t>Salar de</t>
  </si>
  <si>
    <t>Total</t>
  </si>
  <si>
    <t>salar</t>
  </si>
  <si>
    <t>Spor de vechime</t>
  </si>
  <si>
    <t>procent</t>
  </si>
  <si>
    <t>valoare</t>
  </si>
  <si>
    <t>venit</t>
  </si>
  <si>
    <t>Director</t>
  </si>
  <si>
    <t>Iosib Viorel</t>
  </si>
  <si>
    <t>S</t>
  </si>
  <si>
    <t>46-50</t>
  </si>
  <si>
    <t>Director adj.</t>
  </si>
  <si>
    <t>Şef serviciu</t>
  </si>
  <si>
    <t>Moldovan Aurica</t>
  </si>
  <si>
    <t>Covaci Gabriela</t>
  </si>
  <si>
    <t>Moldovan Cristina</t>
  </si>
  <si>
    <t>Fărcaş Manuela</t>
  </si>
  <si>
    <t>Daniel Ana</t>
  </si>
  <si>
    <t>Pop Monica</t>
  </si>
  <si>
    <t>Lefter Erika</t>
  </si>
  <si>
    <t>Belean Delia</t>
  </si>
  <si>
    <t>Feier Olimpia</t>
  </si>
  <si>
    <t>Curticăpean Monica</t>
  </si>
  <si>
    <t xml:space="preserve">Vlasiu Camelia </t>
  </si>
  <si>
    <t>22-28</t>
  </si>
  <si>
    <t>29-37</t>
  </si>
  <si>
    <t>38-45</t>
  </si>
  <si>
    <t>Bonta Sorin Dănuţ</t>
  </si>
  <si>
    <t>Micu Vasile</t>
  </si>
  <si>
    <t>Raţiu Vasile</t>
  </si>
  <si>
    <t>Magaziner I</t>
  </si>
  <si>
    <t>Matei Vasile</t>
  </si>
  <si>
    <t>Şofer III</t>
  </si>
  <si>
    <t>Fărăgăian Iuliu</t>
  </si>
  <si>
    <t>Bernaschi Petru</t>
  </si>
  <si>
    <t>Codarcea Teofil</t>
  </si>
  <si>
    <t>Csata Ioan</t>
  </si>
  <si>
    <t>Anghel Virgil</t>
  </si>
  <si>
    <t>Feurdean Cristian</t>
  </si>
  <si>
    <t>Electromecanic III</t>
  </si>
  <si>
    <t>Operator maş.multiplicat III</t>
  </si>
  <si>
    <t>Găzdac Elvira</t>
  </si>
  <si>
    <t>Telefonist III</t>
  </si>
  <si>
    <t>Bucur Liliana</t>
  </si>
  <si>
    <t>Iuga Liliana</t>
  </si>
  <si>
    <t>Miculi Viorica</t>
  </si>
  <si>
    <t>statul de funcţii al DIRECŢIEI</t>
  </si>
  <si>
    <t>T O T A L</t>
  </si>
  <si>
    <t>Chirpelean Ioan                                  Gâlea Elena</t>
  </si>
  <si>
    <t>DIRECŢIA BUGET-FINANŢE ŞI ASISTENŢĂ ECONOMICĂ</t>
  </si>
  <si>
    <t>A V I Z E A Z Ă</t>
  </si>
  <si>
    <t>Tcaciuc Ioana</t>
  </si>
  <si>
    <t>Barbu Aneta</t>
  </si>
  <si>
    <t>Vaida Gabriela</t>
  </si>
  <si>
    <t>Moldovan Silvia</t>
  </si>
  <si>
    <t>Petrişor Lucreţia</t>
  </si>
  <si>
    <t>Şerban Manuela</t>
  </si>
  <si>
    <t>Gâlea Elena</t>
  </si>
  <si>
    <t>Radu Teodora</t>
  </si>
  <si>
    <t>Popa  Elena</t>
  </si>
  <si>
    <t>Mureşan Rodica</t>
  </si>
  <si>
    <t>Milăr Ana</t>
  </si>
  <si>
    <t>Tanţoş Florentina</t>
  </si>
  <si>
    <t>Furnea Angela</t>
  </si>
  <si>
    <t>Băţaga Valer</t>
  </si>
  <si>
    <t>Vultur Floarea</t>
  </si>
  <si>
    <t>Suciu Călin</t>
  </si>
  <si>
    <t>Stan Sorin</t>
  </si>
  <si>
    <t xml:space="preserve">       DIRECTOR                                   ŞEF SERVICIU       </t>
  </si>
  <si>
    <t>Misarăş Flaviu</t>
  </si>
  <si>
    <t>Matyas Iuliana</t>
  </si>
  <si>
    <t>Preotu Mariana</t>
  </si>
  <si>
    <t>Toma Iacob</t>
  </si>
  <si>
    <t>Deac Lenuţa</t>
  </si>
  <si>
    <t>Fărcaş Ioan</t>
  </si>
  <si>
    <t>Biriş Ioan</t>
  </si>
  <si>
    <t>Bochiş Nicoleta</t>
  </si>
  <si>
    <t>Kopacz Nicolae</t>
  </si>
  <si>
    <t>Oarga Marieta</t>
  </si>
  <si>
    <t>Şerban Radu</t>
  </si>
  <si>
    <t>Şerban Maria Lucia</t>
  </si>
  <si>
    <t xml:space="preserve">Pătran Carmen </t>
  </si>
  <si>
    <t>Szabo Lorand</t>
  </si>
  <si>
    <t>Matei Nicoleta</t>
  </si>
  <si>
    <t>SERVICIUL ADMINISTRARE-EXPLOATARE DRUMURI, PODURI ŞI BANCA DE DATE</t>
  </si>
  <si>
    <t>Gorea Adriana Mihaela</t>
  </si>
  <si>
    <t>Tacşa Ştefan</t>
  </si>
  <si>
    <t>Vaida Narcisa</t>
  </si>
  <si>
    <t>SERVICIUL DE PROGNOZĂ, CONCEPŢIE ŞI ASIGURAREA CALITĂŢII LUCRĂRILOR</t>
  </si>
  <si>
    <t>Ianosi Paraschiva</t>
  </si>
  <si>
    <t>Iordache Claudia</t>
  </si>
  <si>
    <t>Strîmbu Mihaela</t>
  </si>
  <si>
    <t>Ungvari Andrei</t>
  </si>
  <si>
    <t>Marton Katalin</t>
  </si>
  <si>
    <t>Magyari Zoltan</t>
  </si>
  <si>
    <t>Bojthe Irina</t>
  </si>
  <si>
    <t>Virag Vera</t>
  </si>
  <si>
    <t>Bodor Karol</t>
  </si>
  <si>
    <t>Ciuchină Ioan</t>
  </si>
  <si>
    <t>Costin Claudia</t>
  </si>
  <si>
    <t>Moga Ioan Constantin</t>
  </si>
  <si>
    <t>Muşat Manuela</t>
  </si>
  <si>
    <t>Ciobotă Elvira Iuliana</t>
  </si>
  <si>
    <t>Lungu Mirela</t>
  </si>
  <si>
    <t>Mărgăraş Viorica</t>
  </si>
  <si>
    <t>Szabo Dorina</t>
  </si>
  <si>
    <t>PERSOANE ANGAJATE PE PERIOADĂ DETERMINATĂ</t>
  </si>
  <si>
    <t xml:space="preserve">Nivelul </t>
  </si>
  <si>
    <t xml:space="preserve"> ing. Virág Győrgy</t>
  </si>
  <si>
    <t>Mărginean Ioan Alin</t>
  </si>
  <si>
    <t>Fabian Ana</t>
  </si>
  <si>
    <t>Nireştean Diana</t>
  </si>
  <si>
    <t>Savu Mirela</t>
  </si>
  <si>
    <t xml:space="preserve">DIRECŢIA ADMINISTRARE DRUMURI, PODURI JUDEŢENE, INVESTIŢII </t>
  </si>
  <si>
    <t>SERVICIUL URMĂRIREA LUCRĂRILOR DE DRUMURI ŞI PODURI</t>
  </si>
  <si>
    <t>SERVICIUL INVESTIŢII</t>
  </si>
  <si>
    <t>SERVICIUL TEHNIC</t>
  </si>
  <si>
    <t xml:space="preserve">ADMINISTRARE DRUMURI, PODURI JUDEŢENE, INVESTIŢII </t>
  </si>
  <si>
    <t xml:space="preserve">cu un număr de 26 de posturi </t>
  </si>
  <si>
    <t>Legea 154/1998; OU 24/2000; HCJ 32/2000</t>
  </si>
  <si>
    <t>Nr.</t>
  </si>
  <si>
    <t>crt.</t>
  </si>
  <si>
    <t>SERVICIUL AVIZARE AUTORIZARE,CONTROL</t>
  </si>
  <si>
    <t>Referent de spec.cat.B,cls.I,gr.1</t>
  </si>
  <si>
    <t>Arhitect şef</t>
  </si>
  <si>
    <t>Consilier,cat.A,cls.I,gr.1</t>
  </si>
  <si>
    <t>Consilier,cat.A,cls.I,gr.2</t>
  </si>
  <si>
    <t>Consilier,cat.A,cls.I,gr.3</t>
  </si>
  <si>
    <t>Inspector,cat.C,cls.I,gr.1</t>
  </si>
  <si>
    <t>Referent,cat.C,cls.I,gr.1</t>
  </si>
  <si>
    <t>Inspector de spec.cat.A,cls.II,gr.1</t>
  </si>
  <si>
    <t>Referent,cat.C,cls.I,gr.2</t>
  </si>
  <si>
    <t>DATA : 16.10.2000</t>
  </si>
  <si>
    <t>şi cu un fond de salarii lunar de 108.853.599 lei</t>
  </si>
  <si>
    <t>Cucuiet Alexandru</t>
  </si>
  <si>
    <t>Sprîncean Susana</t>
  </si>
  <si>
    <t>Bartha Iosif</t>
  </si>
  <si>
    <t>Dohotariu Monica</t>
  </si>
  <si>
    <t>Kadar Katalin</t>
  </si>
  <si>
    <t>Gergely Agnes</t>
  </si>
  <si>
    <t>Pop Călin Alexandru</t>
  </si>
  <si>
    <t>Danciu Petru</t>
  </si>
  <si>
    <t>TOGANEL IOAN</t>
  </si>
  <si>
    <t xml:space="preserve">   PREŞEDINTE</t>
  </si>
  <si>
    <t xml:space="preserve">     DIRECŢIA GEN. BUGET-FINANŢE ŞI ASISTENŢĂ ECONOMICĂ</t>
  </si>
  <si>
    <t xml:space="preserve">        A V I Z E A Z Ă</t>
  </si>
  <si>
    <t>Salar baza</t>
  </si>
  <si>
    <t>ianuarie</t>
  </si>
  <si>
    <t>Diferenta</t>
  </si>
  <si>
    <t>octombrie</t>
  </si>
  <si>
    <t>anul 2003</t>
  </si>
  <si>
    <t>an 2003</t>
  </si>
  <si>
    <t>Majorare</t>
  </si>
  <si>
    <t>decembrie</t>
  </si>
  <si>
    <t>an 2002</t>
  </si>
  <si>
    <t>octomb.</t>
  </si>
  <si>
    <t>Salar</t>
  </si>
  <si>
    <t>Salar de baza</t>
  </si>
  <si>
    <t xml:space="preserve">octombrie </t>
  </si>
  <si>
    <t xml:space="preserve">Majorare </t>
  </si>
  <si>
    <t xml:space="preserve">ianuarie </t>
  </si>
  <si>
    <t>an2003</t>
  </si>
  <si>
    <t>FUNCŢIONARI PUBLICI</t>
  </si>
  <si>
    <t>PERSONAL CONTRACTUAL</t>
  </si>
  <si>
    <t>Gorea Adrian</t>
  </si>
  <si>
    <t>Spor încord.psih.</t>
  </si>
  <si>
    <t xml:space="preserve">                           </t>
  </si>
  <si>
    <t>CALCULUL PREMIILOR LUNARE</t>
  </si>
  <si>
    <t>Direcţia/</t>
  </si>
  <si>
    <t>serviciul</t>
  </si>
  <si>
    <t>Fond de salarii</t>
  </si>
  <si>
    <t>lunar</t>
  </si>
  <si>
    <t>Premiul</t>
  </si>
  <si>
    <t>1.</t>
  </si>
  <si>
    <t>2.</t>
  </si>
  <si>
    <t>Consilieri Preşedinte</t>
  </si>
  <si>
    <t>Serviciul Audit Intern</t>
  </si>
  <si>
    <t>3.</t>
  </si>
  <si>
    <t>4.</t>
  </si>
  <si>
    <t>5.</t>
  </si>
  <si>
    <t>6.</t>
  </si>
  <si>
    <t>7.</t>
  </si>
  <si>
    <t>TOTAL:</t>
  </si>
  <si>
    <t>lunar %</t>
  </si>
  <si>
    <t>Nemeş Genica</t>
  </si>
  <si>
    <t xml:space="preserve">Gorea Adriana </t>
  </si>
  <si>
    <t>Economii</t>
  </si>
  <si>
    <t>salarii</t>
  </si>
  <si>
    <t>5% la fond</t>
  </si>
  <si>
    <t>Economia</t>
  </si>
  <si>
    <t>economii</t>
  </si>
  <si>
    <t>Ignat Ionel</t>
  </si>
  <si>
    <t>DIRECŢIA JURIDICĂ  ŞI ADMINISTRAŢIE PUBLICĂ</t>
  </si>
  <si>
    <t>Director executiv</t>
  </si>
  <si>
    <t xml:space="preserve">Dascalu Ligia </t>
  </si>
  <si>
    <t>Cosma Aurelian Paul</t>
  </si>
  <si>
    <t>vacant</t>
  </si>
  <si>
    <t>Kocsis Robert</t>
  </si>
  <si>
    <t>Cioban Simona</t>
  </si>
  <si>
    <t xml:space="preserve">DIRECŢIA TEHNICĂ DRUMURI, PODURI JUDEŢENE SI INVESTIŢII </t>
  </si>
  <si>
    <t>Referent tr.IA</t>
  </si>
  <si>
    <t xml:space="preserve">cu un număr de 3 posturi </t>
  </si>
  <si>
    <t>Consilier,gradul  IA</t>
  </si>
  <si>
    <t>si complexitate</t>
  </si>
  <si>
    <t>suma</t>
  </si>
  <si>
    <t>Virlics Gustav</t>
  </si>
  <si>
    <t xml:space="preserve">           DIRECTOR EXECUTIV,                      ŞEF SERVICIU       </t>
  </si>
  <si>
    <t>anul 2004</t>
  </si>
  <si>
    <t xml:space="preserve">luna ianuarie </t>
  </si>
  <si>
    <t>an 2004</t>
  </si>
  <si>
    <t>luna ianuarie</t>
  </si>
  <si>
    <t>Direcţia Juridică şi Administraţie Publică</t>
  </si>
  <si>
    <t>Direcţia Administrare Drumuri, Poduri şi Banca de Date</t>
  </si>
  <si>
    <t>Pondere</t>
  </si>
  <si>
    <t>Premii din</t>
  </si>
  <si>
    <t>Vodă Laurenţiu</t>
  </si>
  <si>
    <t>luna martie</t>
  </si>
  <si>
    <t>Secretar general</t>
  </si>
  <si>
    <t>DE PREMII</t>
  </si>
  <si>
    <t>Strete Ioan</t>
  </si>
  <si>
    <t>Serv.Urbanism</t>
  </si>
  <si>
    <t>TOTAL FOND</t>
  </si>
  <si>
    <t>realizata</t>
  </si>
  <si>
    <t>Dir.II - pers.contr.</t>
  </si>
  <si>
    <t xml:space="preserve">Salariu de </t>
  </si>
  <si>
    <t>baza</t>
  </si>
  <si>
    <t>Lokodi Edita Emöke</t>
  </si>
  <si>
    <t>Axente Iuliana</t>
  </si>
  <si>
    <t xml:space="preserve">                            CONSILIUL JUDEŢEAN MUREŞ</t>
  </si>
  <si>
    <t xml:space="preserve">                       A V I Z E A Z Ă</t>
  </si>
  <si>
    <t>noiembrie</t>
  </si>
  <si>
    <t>Insp. de spec.  A II 1</t>
  </si>
  <si>
    <t>Referent de spec. B I 1</t>
  </si>
  <si>
    <t>Referent de spec.B I 1</t>
  </si>
  <si>
    <t>Inspector C I 1</t>
  </si>
  <si>
    <t>Insp. de spec.  A III 3</t>
  </si>
  <si>
    <t xml:space="preserve"> Inspector C I 1</t>
  </si>
  <si>
    <t>Referent C I 1</t>
  </si>
  <si>
    <t xml:space="preserve"> Referent C I 2</t>
  </si>
  <si>
    <t>Consilier juridic A I 1</t>
  </si>
  <si>
    <t>Consilier juridic A III 3</t>
  </si>
  <si>
    <t>Consilier juridic A II 1</t>
  </si>
  <si>
    <t>Consilier juridic A II 2</t>
  </si>
  <si>
    <t>Insp. De spec. A II 1</t>
  </si>
  <si>
    <t>Referent C I 2</t>
  </si>
  <si>
    <t>Referent C II 1</t>
  </si>
  <si>
    <t>Consilier A I 1</t>
  </si>
  <si>
    <t xml:space="preserve">Referent de spec. B I 1 </t>
  </si>
  <si>
    <t xml:space="preserve"> Consilier A I 1</t>
  </si>
  <si>
    <t>Consilier A I 2</t>
  </si>
  <si>
    <t>Consilier A I 3</t>
  </si>
  <si>
    <t xml:space="preserve">Consilier A I 1 </t>
  </si>
  <si>
    <t>Consilier juridic A I 3</t>
  </si>
  <si>
    <t>Consilier A III 3</t>
  </si>
  <si>
    <t>Consilier A III 1</t>
  </si>
  <si>
    <t>Funcţia de execuţie</t>
  </si>
  <si>
    <t>OUG 192/2002</t>
  </si>
  <si>
    <t>Funcţia  de execuţie</t>
  </si>
  <si>
    <t xml:space="preserve">Funcţia de execuţie </t>
  </si>
  <si>
    <t>OUG 192/2004</t>
  </si>
  <si>
    <t>clasa/grad/treapta</t>
  </si>
  <si>
    <t>Referent III, superior, 1</t>
  </si>
  <si>
    <t>Consilier  I, superior, 1</t>
  </si>
  <si>
    <t>Consilier jur. I,superior, 1</t>
  </si>
  <si>
    <t>Consilier jur. I,superior, 3</t>
  </si>
  <si>
    <t>Consilier jur. I, asistent, 3</t>
  </si>
  <si>
    <t>Consilier jur. I, principal, 1</t>
  </si>
  <si>
    <t>Consilier jur. I, principal, 2</t>
  </si>
  <si>
    <t xml:space="preserve"> Consilier I,superior,1</t>
  </si>
  <si>
    <t>Consilier I,superior,3</t>
  </si>
  <si>
    <t xml:space="preserve"> Consilier I,superior,2</t>
  </si>
  <si>
    <t>Referent spec. II,superior,1</t>
  </si>
  <si>
    <t>Referent III,superior,1</t>
  </si>
  <si>
    <t>Referent III,superior,2</t>
  </si>
  <si>
    <t>Referent III,principal,1</t>
  </si>
  <si>
    <t xml:space="preserve">Consilier I,superior,1 </t>
  </si>
  <si>
    <t>Consilier I,superior,1</t>
  </si>
  <si>
    <t>Referent spec.II,superior,1</t>
  </si>
  <si>
    <t>Inspector III,superior,1</t>
  </si>
  <si>
    <t>Consilier I,superior,2</t>
  </si>
  <si>
    <t xml:space="preserve"> Inspector III,superior,1</t>
  </si>
  <si>
    <t>Consilier I,asistent,1</t>
  </si>
  <si>
    <t xml:space="preserve"> Referent III,superior,1</t>
  </si>
  <si>
    <t xml:space="preserve"> Referent III,superior,2</t>
  </si>
  <si>
    <t xml:space="preserve">Referent spec.II,superior,1 </t>
  </si>
  <si>
    <t>Consilier I,asistent,3</t>
  </si>
  <si>
    <t>Inspector I,principal,1</t>
  </si>
  <si>
    <t>Insp. I,principal,1</t>
  </si>
  <si>
    <t>Insp.   I,asistent,3</t>
  </si>
  <si>
    <t>Auditor A I 1</t>
  </si>
  <si>
    <t>Auditor A I 2</t>
  </si>
  <si>
    <t>Auditor A III 1</t>
  </si>
  <si>
    <t>Auditor I,superior,1</t>
  </si>
  <si>
    <t>Auditor I,superior,2</t>
  </si>
  <si>
    <t>Auditor I, asistent,1</t>
  </si>
  <si>
    <t>dec</t>
  </si>
  <si>
    <t>ian</t>
  </si>
  <si>
    <t>Crestere</t>
  </si>
  <si>
    <t>OUG 92/2004</t>
  </si>
  <si>
    <t xml:space="preserve">statul de funcţii al </t>
  </si>
  <si>
    <t>DIRECTIEI  JURIDICĂ ŞI ADMINISTRAŢIE PUBLICĂ</t>
  </si>
  <si>
    <t>Kutasi Melinda</t>
  </si>
  <si>
    <t xml:space="preserve"> Bartha Iosif                                Gâlea Elena</t>
  </si>
  <si>
    <t xml:space="preserve">                         statul de funcţii al </t>
  </si>
  <si>
    <t>DIRECTOR EXECUTIV                                    ŞEF SERVICIU</t>
  </si>
  <si>
    <t xml:space="preserve">     Bartha Iosif                                                  Gâlea Elena</t>
  </si>
  <si>
    <t xml:space="preserve">      Lokodi Edita Emöke</t>
  </si>
  <si>
    <t xml:space="preserve">                 şi cu un fond de salarii lunar de </t>
  </si>
  <si>
    <t xml:space="preserve"> DIRECŢIEI TEHNICA, DRUMURI, PODURI JUDETENE SI INVESTITII</t>
  </si>
  <si>
    <t xml:space="preserve">    şi cu un fond de salarii lunar de</t>
  </si>
  <si>
    <t xml:space="preserve">şi cu un fond de salarii de </t>
  </si>
  <si>
    <t xml:space="preserve">cu un fond de salarii lunar de </t>
  </si>
  <si>
    <t xml:space="preserve">        cu un fond de salarii lunar de </t>
  </si>
  <si>
    <t>SERVICIUL RESURSE UMANE, CONSILIERI PRESEDINTE</t>
  </si>
  <si>
    <t>clasa</t>
  </si>
  <si>
    <t>gradul profesional</t>
  </si>
  <si>
    <t xml:space="preserve">treapta </t>
  </si>
  <si>
    <t>Consilier</t>
  </si>
  <si>
    <t>I</t>
  </si>
  <si>
    <t>superior</t>
  </si>
  <si>
    <t>SERVICIUL JURIDIC ŞI CONTENCIOS</t>
  </si>
  <si>
    <t>Consilier juridic</t>
  </si>
  <si>
    <t>principal</t>
  </si>
  <si>
    <t>asistent</t>
  </si>
  <si>
    <t>III</t>
  </si>
  <si>
    <t>Referent</t>
  </si>
  <si>
    <t>SERVICIUL ADMINISTRAŢIE PUBLICĂ</t>
  </si>
  <si>
    <t>COMPARTIMENTUL ADMINISTRAŢIE PUBLICĂ</t>
  </si>
  <si>
    <t xml:space="preserve"> Consilier</t>
  </si>
  <si>
    <t>Inspector</t>
  </si>
  <si>
    <t>Belean Adrian</t>
  </si>
  <si>
    <t>COMPARTIMENTUL RELAŢII CU PUBLICUL ŞI INFORMAŢII DE INTERES PUBLIC</t>
  </si>
  <si>
    <t>II</t>
  </si>
  <si>
    <t>Referent de specialitate</t>
  </si>
  <si>
    <t>debutant</t>
  </si>
  <si>
    <t>COMPARTIMENTUL CANCELARIE, RELAŢII CU CONSILIERII, MONITOR OFICIAL</t>
  </si>
  <si>
    <t>DIRECŢIA DEZVOLTARE REGIONALĂ, INTEGRARE EUROPEANĂ</t>
  </si>
  <si>
    <t>SERVICIUL DEZVOLTARE REGIONALĂ</t>
  </si>
  <si>
    <t>COMPARTIMENTUL INTEGRARE EUROPEANĂ</t>
  </si>
  <si>
    <t>Nagy Catalena</t>
  </si>
  <si>
    <t>Ujvari Eugen</t>
  </si>
  <si>
    <t>COMPARTIMENTUL RELAŢII EXTERNE ŞI MASS MEDIA</t>
  </si>
  <si>
    <t>Fabian Livia</t>
  </si>
  <si>
    <t>treapta</t>
  </si>
  <si>
    <t>DIRECŢIA  ECONOMICĂ</t>
  </si>
  <si>
    <t>COMPARTIMENTUL ANALIZĂ, ASISTENŢĂ ECONOMICĂ ŞI MONITORIZARE CONSILII LOCALE</t>
  </si>
  <si>
    <t>COMPARTIMENTUL PENTRU INFORMATIZAREA ADMINISTRAŢIEI PUBLICE</t>
  </si>
  <si>
    <t>SERVICIUL BUGET, FINANŢE ŞI VENITURI</t>
  </si>
  <si>
    <t>BIROUL FINANCIAR - CONTABIL</t>
  </si>
  <si>
    <t>Cămărăsan Mariana</t>
  </si>
  <si>
    <t>COMPARTIMENTUL PATRIMONIU ŞI SERVICII PUBLICE</t>
  </si>
  <si>
    <t>SERVICIUL ADMINISTRATIV, GOSPODĂRIRE</t>
  </si>
  <si>
    <t xml:space="preserve">Consilier </t>
  </si>
  <si>
    <t xml:space="preserve"> Referent</t>
  </si>
  <si>
    <t xml:space="preserve"> DIRECŢIA   ECONOMICĂ</t>
  </si>
  <si>
    <t xml:space="preserve">cu un număr de 25 de posturi </t>
  </si>
  <si>
    <t xml:space="preserve">  CONSILIUL JUDEŢEAN MUREŞ</t>
  </si>
  <si>
    <t>DIRECTIEI  ECONOMICĂ</t>
  </si>
  <si>
    <t xml:space="preserve">cu un număr de 54 de posturi </t>
  </si>
  <si>
    <t>ARHITECTUL ŞEF</t>
  </si>
  <si>
    <t>COMPARTIMENTUL AMENAJARE TERITORIU ŞI URBANISM</t>
  </si>
  <si>
    <t>Andras Ştefan</t>
  </si>
  <si>
    <t xml:space="preserve"> ARHITECTULUI ŞEF</t>
  </si>
  <si>
    <t xml:space="preserve">cu un număr de 14  posturi </t>
  </si>
  <si>
    <t>OUG 92/2004, HCJM 34/2005</t>
  </si>
  <si>
    <t>COMPARTIMENTUL BAZA DE DATE ŞI ASIGURAREA CALITĂŢII</t>
  </si>
  <si>
    <t>Ţogorean Narcisa</t>
  </si>
  <si>
    <t xml:space="preserve">            cu un număr de 27 de posturi </t>
  </si>
  <si>
    <t xml:space="preserve">T O T A L  </t>
  </si>
  <si>
    <t>DATA :01.05.2005</t>
  </si>
  <si>
    <t xml:space="preserve">Iacob Floarea </t>
  </si>
  <si>
    <t>Baci Artinie</t>
  </si>
  <si>
    <t>Fochist III</t>
  </si>
  <si>
    <t>Tapiter III</t>
  </si>
  <si>
    <t>Moldovan Lazăr</t>
  </si>
  <si>
    <t>Lăcătuş III</t>
  </si>
  <si>
    <t>Sîngeorzan Ioan</t>
  </si>
  <si>
    <t>Ştefan Alexandru</t>
  </si>
  <si>
    <t>Ingrijitoare I</t>
  </si>
  <si>
    <t>Borz Aurelia</t>
  </si>
  <si>
    <t>Cormos Viorica</t>
  </si>
  <si>
    <t>Feurdean Aniţa</t>
  </si>
  <si>
    <t>Runcan Elena</t>
  </si>
  <si>
    <t>Şerban Elena Crinişoara</t>
  </si>
  <si>
    <t>Szanto Magdalena</t>
  </si>
  <si>
    <t>Tinca Elena</t>
  </si>
  <si>
    <t xml:space="preserve">T O T A L </t>
  </si>
  <si>
    <t xml:space="preserve">Referent </t>
  </si>
  <si>
    <t xml:space="preserve">    Lokodi Edita Emöke</t>
  </si>
  <si>
    <t>COMPARTIMENTUL  AUDIT PUBLIC INTERN</t>
  </si>
  <si>
    <t>COMPARTIMENTULUI AUDIT PUBLIC INTERN</t>
  </si>
  <si>
    <t>Cotta Floarea</t>
  </si>
  <si>
    <t>Auditor</t>
  </si>
  <si>
    <t xml:space="preserve">        DIRECTOR EXECUTIV,                        ŞEF SERVICIU,       </t>
  </si>
  <si>
    <t xml:space="preserve">                Bartha Iosif                                     Gâlea Elena</t>
  </si>
  <si>
    <t xml:space="preserve">      CONSILIUL JUDEŢEAN MUREŞ</t>
  </si>
  <si>
    <t xml:space="preserve">           şi cu un fond de salarii lunar de </t>
  </si>
  <si>
    <t xml:space="preserve">         Bartha Iosif                                  Gâlea Elena</t>
  </si>
  <si>
    <t xml:space="preserve">Consilier  </t>
  </si>
  <si>
    <t xml:space="preserve">         şi cu  un fond de salarii lunar de </t>
  </si>
  <si>
    <t xml:space="preserve">                        Bartha Iosif                                  Gâlea Elena</t>
  </si>
  <si>
    <t xml:space="preserve">Referent de specialitate </t>
  </si>
  <si>
    <t xml:space="preserve">   DATA: 01.05.2005</t>
  </si>
  <si>
    <t xml:space="preserve">                            DIRECŢIA  ECONOMICĂ</t>
  </si>
  <si>
    <t xml:space="preserve">                               A V I Z E A Z A</t>
  </si>
  <si>
    <t xml:space="preserve">                CONSILIUL JUDEŢEAN MUREŞ</t>
  </si>
  <si>
    <t xml:space="preserve">                           statul de funcţii al</t>
  </si>
  <si>
    <t xml:space="preserve">                      cu un număr de 9 posturi</t>
  </si>
  <si>
    <t xml:space="preserve">            şi cu un fond de salarii lunar de</t>
  </si>
  <si>
    <t xml:space="preserve">                          SERVICIULUI RESURSE UMANE, CONSILIERI PRESEDINTE</t>
  </si>
  <si>
    <t xml:space="preserve">          DIRECŢIA   ECONOMICĂ</t>
  </si>
  <si>
    <t xml:space="preserve"> DIRECŢIA ECONOMICĂ</t>
  </si>
  <si>
    <t xml:space="preserve"> şi cu un fond de salarii lunar de </t>
  </si>
  <si>
    <t xml:space="preserve">            AVIZEAZĂ</t>
  </si>
  <si>
    <t xml:space="preserve">           statul de personal al personalului angajat pe</t>
  </si>
  <si>
    <t xml:space="preserve">        perioadă determinată în cadrul aparatului propriu</t>
  </si>
  <si>
    <t xml:space="preserve">   PREŞEDINTE,</t>
  </si>
  <si>
    <t xml:space="preserve"> DIRECTOR EXECUTIV,                         ŞEF SERVICIU       </t>
  </si>
  <si>
    <t xml:space="preserve">          Bartha Iosif                                      Gâlea Elena</t>
  </si>
  <si>
    <t xml:space="preserve">                        DIRECŢIA ECONOMICĂ</t>
  </si>
  <si>
    <t xml:space="preserve">   şi cu un fond de salarii lunar de </t>
  </si>
  <si>
    <t xml:space="preserve">                  DATA:01.07.2005</t>
  </si>
  <si>
    <t>cu un fond de salarii lunar de</t>
  </si>
  <si>
    <t>Şef birou</t>
  </si>
  <si>
    <t xml:space="preserve">           Spor complexitate</t>
  </si>
  <si>
    <t>Suciu Loredana</t>
  </si>
  <si>
    <t>Iordache Daniela Mihaela</t>
  </si>
  <si>
    <t>Friss Csaba</t>
  </si>
  <si>
    <t xml:space="preserve">I </t>
  </si>
  <si>
    <t>Spor condiţii</t>
  </si>
  <si>
    <t>deosebite</t>
  </si>
  <si>
    <t>INDEMNIZAŢII ALEŞI</t>
  </si>
  <si>
    <t>SECRETAR GENERAL</t>
  </si>
  <si>
    <t>COMPARTIMENTUL AUDIT PUBLIC INTERN</t>
  </si>
  <si>
    <t>SERVICIUL RESURSE UMANE, CONSILIERI PREŞEDINTE</t>
  </si>
  <si>
    <t>DIRECŢIA JURIDICĂ ŞI ADMINISTRAŢIE PUBLICĂ</t>
  </si>
  <si>
    <t>DIRECŢIA ECONOMICĂ</t>
  </si>
  <si>
    <t>DIRECŢIA TEHNICĂ, DRUMURI, PODURI JUDEŢENE ŞI INVESTIŢII</t>
  </si>
  <si>
    <t>Spor de</t>
  </si>
  <si>
    <t>vechime</t>
  </si>
  <si>
    <t>Spor încordare</t>
  </si>
  <si>
    <t>psihică şi</t>
  </si>
  <si>
    <t>compexitate</t>
  </si>
  <si>
    <t>funcţionari publici</t>
  </si>
  <si>
    <t>personal contractual</t>
  </si>
  <si>
    <t>DURATA DETERMINATA - personal contractual</t>
  </si>
  <si>
    <t>total</t>
  </si>
  <si>
    <t>TOTAL</t>
  </si>
  <si>
    <t>Data 01.10.2005</t>
  </si>
  <si>
    <t>Direcţia/Serviciul/Compartimentul</t>
  </si>
  <si>
    <t>CENTRALIZATOR AL STATELOR DE PERSONAL</t>
  </si>
  <si>
    <t xml:space="preserve">Numar </t>
  </si>
  <si>
    <t>posturi</t>
  </si>
  <si>
    <t>funcţionari publici - posturi vacante</t>
  </si>
  <si>
    <t>personal contractual - posturi vacante</t>
  </si>
  <si>
    <t>funcţionari publici -ocupate</t>
  </si>
  <si>
    <t>personal contractual - ocupate</t>
  </si>
  <si>
    <t>funcţionari publici - vacante</t>
  </si>
  <si>
    <t>Csortan Ilona</t>
  </si>
  <si>
    <t>Sin Daniela Cristiana</t>
  </si>
  <si>
    <t>Petru Ovidiu Gabriel</t>
  </si>
  <si>
    <t xml:space="preserve">  Lokodi Edita Emöke</t>
  </si>
  <si>
    <t>Inspector de specialitate gr. I</t>
  </si>
  <si>
    <t>Spinei Radu</t>
  </si>
  <si>
    <t>8.</t>
  </si>
  <si>
    <t>Direcţia Dezvoltare Regională, Integrare Europeană</t>
  </si>
  <si>
    <t>Instituţia Arhitectului Şef</t>
  </si>
  <si>
    <t>Direcţia Economică</t>
  </si>
  <si>
    <t xml:space="preserve">Dir.IV </t>
  </si>
  <si>
    <t>Dir.IV durata determinata</t>
  </si>
  <si>
    <t>Serviciul Res Umane / durata determinata</t>
  </si>
  <si>
    <t>luna ianuarie 2006</t>
  </si>
  <si>
    <t>OG 2/2006; OG 3/2006</t>
  </si>
  <si>
    <t>Referent  gradul IA</t>
  </si>
  <si>
    <t>Gyarmati Iuliana</t>
  </si>
  <si>
    <t>Lungu Anamaria</t>
  </si>
  <si>
    <t>Mureşan Voica Codruţa</t>
  </si>
  <si>
    <t>Buruş Adriana</t>
  </si>
  <si>
    <t>Farkas Adriana</t>
  </si>
  <si>
    <t>Lokodi Emöke</t>
  </si>
  <si>
    <t>Kubánda Lehel</t>
  </si>
  <si>
    <t>Ene Gabriela</t>
  </si>
  <si>
    <t>Hochbauer Mihaly</t>
  </si>
  <si>
    <t>Total functionari publici</t>
  </si>
  <si>
    <t>Total personal contractual</t>
  </si>
  <si>
    <t>Total personal contral:</t>
  </si>
  <si>
    <t>Manager public</t>
  </si>
  <si>
    <t>Bogdan Adriana</t>
  </si>
  <si>
    <t>Serviciul Resurse Umane</t>
  </si>
  <si>
    <t>Comapartimentul Audit Intern</t>
  </si>
  <si>
    <t>Szabo Csilla</t>
  </si>
  <si>
    <t xml:space="preserve">   Lokodi Edita Emöke</t>
  </si>
  <si>
    <t xml:space="preserve">                 Bartha Iosif                                     Gâlea Elena</t>
  </si>
  <si>
    <t xml:space="preserve">               DIRECŢIA  ECONOMICĂ</t>
  </si>
  <si>
    <t xml:space="preserve">Bartha Iosif             </t>
  </si>
  <si>
    <t xml:space="preserve"> DIRECTOR EXECUTIV,        ŞEF SERVICIU,      </t>
  </si>
  <si>
    <t xml:space="preserve">       Gâlea Elena</t>
  </si>
  <si>
    <t xml:space="preserve">        CONSILIUL JUDEŢEAN MUREŞ</t>
  </si>
  <si>
    <t xml:space="preserve">SECRETAR </t>
  </si>
  <si>
    <t xml:space="preserve">       Se aprobă</t>
  </si>
  <si>
    <t>Cismaş Lucia Felicia</t>
  </si>
  <si>
    <t>Ingrijitor I</t>
  </si>
  <si>
    <t>Administrator I</t>
  </si>
  <si>
    <t>Şofer I</t>
  </si>
  <si>
    <t xml:space="preserve">asistent </t>
  </si>
  <si>
    <t>Referent gradul IA</t>
  </si>
  <si>
    <t xml:space="preserve">Magyarossy Andrea </t>
  </si>
  <si>
    <t>DATA: 01.09.2006</t>
  </si>
  <si>
    <t xml:space="preserve">     DATA :01.09.2006</t>
  </si>
  <si>
    <t>DATA :01.09.2006</t>
  </si>
  <si>
    <t xml:space="preserve">                        DATA: 01.09.2006</t>
  </si>
  <si>
    <t xml:space="preserve">              </t>
  </si>
  <si>
    <t xml:space="preserve"> </t>
  </si>
  <si>
    <t>Mureşan Cristina</t>
  </si>
  <si>
    <t>Inspector de specilalitate</t>
  </si>
  <si>
    <t>COMPARTIMENTUL AUDIT INTERN</t>
  </si>
  <si>
    <t>de execuţie/</t>
  </si>
  <si>
    <t>nivel de salarizare</t>
  </si>
  <si>
    <t>public</t>
  </si>
  <si>
    <t xml:space="preserve">Înalt funcţionar </t>
  </si>
  <si>
    <t>profesional</t>
  </si>
  <si>
    <t>Clasa</t>
  </si>
  <si>
    <t xml:space="preserve">Gradul </t>
  </si>
  <si>
    <t xml:space="preserve">Treapta </t>
  </si>
  <si>
    <t>de</t>
  </si>
  <si>
    <t>salarizare</t>
  </si>
  <si>
    <t>Funcţia contractuală</t>
  </si>
  <si>
    <t>Treapta</t>
  </si>
  <si>
    <t>profesională</t>
  </si>
  <si>
    <t>Secretar</t>
  </si>
  <si>
    <t>IA</t>
  </si>
  <si>
    <t>SSD</t>
  </si>
  <si>
    <t>M</t>
  </si>
  <si>
    <t xml:space="preserve">Referent  </t>
  </si>
  <si>
    <t xml:space="preserve">Administrator </t>
  </si>
  <si>
    <t xml:space="preserve">Magaziner </t>
  </si>
  <si>
    <t xml:space="preserve">Şofer </t>
  </si>
  <si>
    <t>Electromecanic</t>
  </si>
  <si>
    <t xml:space="preserve">Telefonist </t>
  </si>
  <si>
    <t xml:space="preserve">Ingrijitor </t>
  </si>
  <si>
    <t xml:space="preserve">Ingrijitoare </t>
  </si>
  <si>
    <t>Ingrijitoare</t>
  </si>
  <si>
    <t xml:space="preserve">Fochist </t>
  </si>
  <si>
    <t xml:space="preserve">Tapiter </t>
  </si>
  <si>
    <t xml:space="preserve">Lăcătuş </t>
  </si>
  <si>
    <t xml:space="preserve">de </t>
  </si>
  <si>
    <t xml:space="preserve">Inspector </t>
  </si>
  <si>
    <t>Danciu Petru Dan</t>
  </si>
  <si>
    <t xml:space="preserve">Radu Doina Teodora </t>
  </si>
  <si>
    <t>Costin Claudia Veronica</t>
  </si>
  <si>
    <t xml:space="preserve">Referent de spec. </t>
  </si>
  <si>
    <t>Referent de spec.</t>
  </si>
  <si>
    <t>NUMAR TOTAL  FUNCŢII PUBLICE</t>
  </si>
  <si>
    <t>NUMAR TOTAL  FUNCŢII PUBLICE DE CONDUCERE</t>
  </si>
  <si>
    <t>NUMAR TOTAL  FUNCŢII PUBLICE DE EXECUŢIE</t>
  </si>
  <si>
    <t>NUMAR TOTAL  FUNCŢII CONTRACTUALE DE CONDUCERE</t>
  </si>
  <si>
    <t>NUMAR TOTAL  FUNCŢII CONTRACTUALE DE EXECUŢIE</t>
  </si>
  <si>
    <t>NUMAR TOTAL FUNCŢII ÎN INSTITUŢIE</t>
  </si>
  <si>
    <t>Director exec.</t>
  </si>
  <si>
    <t>COMPARTIMENTUL ACHIZIŢII PUBLICE</t>
  </si>
  <si>
    <t>Inspector de spec.</t>
  </si>
  <si>
    <t xml:space="preserve">Inspector de spec. </t>
  </si>
  <si>
    <t>conducere</t>
  </si>
  <si>
    <t xml:space="preserve">Operator multipl. </t>
  </si>
  <si>
    <t xml:space="preserve">DIRECŢIA TEHNICĂ  DE DRUMURI, PODURI JUDEŢENE SI INVESTIŢII </t>
  </si>
  <si>
    <t>COMPARTIMENTUL CANCELARIE</t>
  </si>
  <si>
    <t>COMPARTIMENTUL PROTECŢIA MEDIULUI</t>
  </si>
  <si>
    <t>Feurdean Daniel</t>
  </si>
  <si>
    <t>ANEXA NR.III</t>
  </si>
  <si>
    <t>Ghidiu Ovidiu</t>
  </si>
  <si>
    <t>Hulpus Delia Monica</t>
  </si>
  <si>
    <t>Subinginer</t>
  </si>
  <si>
    <t>Ispector de spec.</t>
  </si>
  <si>
    <t>COMPARTIMENTUL ÎNTREŢINERE - REPARAŢII</t>
  </si>
  <si>
    <t>BIROUL DE INFORMAŢII TURISTICE *)</t>
  </si>
  <si>
    <t xml:space="preserve">NOTA: *) Persoanele din cadrul Biroului de Informaţii Turistice deservesc Biroul de turism amplasat în incinta Palatului Culturii, instituţie publică de interes judeţean, obiectiv de patrimoniu aflat în circuitul turistic. Principalele atribuţii ale acestor persoane sunt informare a turiştilor români şi străini, distribuirea de materiale publicitare în domeniu, etc.. Aceste atribuţii nu fac obiectul art.2 alin.(3) din Legea nr.188/1999 *** republicată. </t>
  </si>
  <si>
    <t xml:space="preserve">      PREŞEDINTE,</t>
  </si>
  <si>
    <t>LA HOTĂRÂREA CJM NR.____/2007</t>
  </si>
  <si>
    <t>Vacant</t>
  </si>
  <si>
    <t>special</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</si>
</sst>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_-* #,##0\ _L_E_I_-;\-* #,##0\ _L_E_I_-;_-* &quot;-&quot;\ _L_E_I_-;_-@_-"/>
    <numFmt numFmtId="173" formatCode="_-* #,##0.00\ _L_E_I_-;\-* #,##0.00\ _L_E_I_-;_-* &quot;-&quot;??\ _L_E_I_-;_-@_-"/>
    <numFmt numFmtId="174" formatCode="0.000"/>
    <numFmt numFmtId="175" formatCode="0.0000"/>
    <numFmt numFmtId="176" formatCode="00000"/>
    <numFmt numFmtId="177" formatCode="d\-mmm"/>
    <numFmt numFmtId="178" formatCode="m/d/yy"/>
    <numFmt numFmtId="179" formatCode="mm/dd/yy"/>
    <numFmt numFmtId="180" formatCode="d\-mmm\-yy"/>
    <numFmt numFmtId="181" formatCode="0.0"/>
    <numFmt numFmtId="182" formatCode="[$-418]d\ mmmm\ yyyy"/>
    <numFmt numFmtId="183" formatCode="#,##0\ &quot;lei&quot;"/>
    <numFmt numFmtId="184" formatCode="&quot;Da&quot;;&quot;Da&quot;;&quot;Nu&quot;"/>
    <numFmt numFmtId="185" formatCode="&quot;Adevărat&quot;;&quot;Adevărat&quot;;&quot;Fals&quot;"/>
    <numFmt numFmtId="186" formatCode="&quot;Activat&quot;;&quot;Activat&quot;;&quot;Dezactivat&quot;"/>
    <numFmt numFmtId="187" formatCode="#,##0.00\ &quot;lei&quot;"/>
    <numFmt numFmtId="188" formatCode="#,##0.00;[Red]#,##0.00"/>
    <numFmt numFmtId="189" formatCode="#,##0;[Red]#,##0"/>
    <numFmt numFmtId="190" formatCode="&quot;Yes&quot;;&quot;Yes&quot;;&quot;No&quot;"/>
    <numFmt numFmtId="191" formatCode="&quot;True&quot;;&quot;True&quot;;&quot;False&quot;"/>
    <numFmt numFmtId="192" formatCode="&quot;On&quot;;&quot;On&quot;;&quot;Off&quot;"/>
    <numFmt numFmtId="193" formatCode="[$€-2]\ #,##0.00_);[Red]\([$€-2]\ #,##0.00\)"/>
  </numFmts>
  <fonts count="18">
    <font>
      <sz val="10"/>
      <name val="Arial"/>
      <family val="0"/>
    </font>
    <font>
      <b/>
      <sz val="10"/>
      <name val="Arial"/>
      <family val="2"/>
    </font>
    <font>
      <sz val="9"/>
      <name val="Arial"/>
      <family val="2"/>
    </font>
    <font>
      <b/>
      <sz val="9"/>
      <name val="Arial"/>
      <family val="2"/>
    </font>
    <font>
      <b/>
      <sz val="11"/>
      <name val="Arial"/>
      <family val="2"/>
    </font>
    <font>
      <sz val="8"/>
      <name val="Arial"/>
      <family val="2"/>
    </font>
    <font>
      <b/>
      <i/>
      <sz val="10"/>
      <name val="Arial"/>
      <family val="2"/>
    </font>
    <font>
      <sz val="8"/>
      <name val="Tahoma"/>
      <family val="0"/>
    </font>
    <font>
      <b/>
      <sz val="8"/>
      <name val="Tahoma"/>
      <family val="0"/>
    </font>
    <font>
      <i/>
      <sz val="10"/>
      <name val="Arial"/>
      <family val="2"/>
    </font>
    <font>
      <u val="single"/>
      <sz val="10"/>
      <color indexed="12"/>
      <name val="Arial"/>
      <family val="0"/>
    </font>
    <font>
      <u val="single"/>
      <sz val="10"/>
      <color indexed="36"/>
      <name val="Arial"/>
      <family val="0"/>
    </font>
    <font>
      <sz val="12"/>
      <name val="Arial"/>
      <family val="2"/>
    </font>
    <font>
      <sz val="11"/>
      <name val="Arial"/>
      <family val="2"/>
    </font>
    <font>
      <b/>
      <i/>
      <sz val="9"/>
      <name val="Arial"/>
      <family val="2"/>
    </font>
    <font>
      <u val="single"/>
      <sz val="10"/>
      <name val="Arial"/>
      <family val="0"/>
    </font>
    <font>
      <b/>
      <sz val="12"/>
      <name val="Arial"/>
      <family val="2"/>
    </font>
    <font>
      <b/>
      <sz val="8"/>
      <name val="Arial"/>
      <family val="2"/>
    </font>
  </fonts>
  <fills count="2">
    <fill>
      <patternFill/>
    </fill>
    <fill>
      <patternFill patternType="gray125"/>
    </fill>
  </fills>
  <borders count="39">
    <border>
      <left/>
      <right/>
      <top/>
      <bottom/>
      <diagonal/>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454">
    <xf numFmtId="0" fontId="0" fillId="0" borderId="0" xfId="0" applyAlignment="1">
      <alignment/>
    </xf>
    <xf numFmtId="0" fontId="1" fillId="0" borderId="0" xfId="0" applyFont="1" applyAlignment="1">
      <alignment/>
    </xf>
    <xf numFmtId="0" fontId="0" fillId="0" borderId="0" xfId="0" applyBorder="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Alignment="1">
      <alignment horizontal="center"/>
    </xf>
    <xf numFmtId="3" fontId="0" fillId="0" borderId="1" xfId="0" applyNumberFormat="1" applyBorder="1" applyAlignment="1">
      <alignment horizontal="center"/>
    </xf>
    <xf numFmtId="3" fontId="0" fillId="0" borderId="1" xfId="0" applyNumberFormat="1" applyBorder="1" applyAlignment="1">
      <alignment/>
    </xf>
    <xf numFmtId="3" fontId="0" fillId="0" borderId="2" xfId="0" applyNumberFormat="1" applyBorder="1" applyAlignment="1">
      <alignment horizontal="center"/>
    </xf>
    <xf numFmtId="3" fontId="0" fillId="0" borderId="3" xfId="0" applyNumberFormat="1" applyBorder="1" applyAlignment="1">
      <alignment/>
    </xf>
    <xf numFmtId="3" fontId="0" fillId="0" borderId="4" xfId="0" applyNumberFormat="1" applyBorder="1" applyAlignment="1">
      <alignment horizontal="center"/>
    </xf>
    <xf numFmtId="3" fontId="0" fillId="0" borderId="4" xfId="0" applyNumberFormat="1" applyBorder="1" applyAlignment="1">
      <alignment/>
    </xf>
    <xf numFmtId="3" fontId="0" fillId="0" borderId="5" xfId="0" applyNumberFormat="1" applyBorder="1" applyAlignment="1">
      <alignment/>
    </xf>
    <xf numFmtId="3" fontId="0" fillId="0" borderId="5" xfId="0" applyNumberFormat="1" applyBorder="1" applyAlignment="1">
      <alignment horizontal="center"/>
    </xf>
    <xf numFmtId="3" fontId="0" fillId="0" borderId="0"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7" xfId="0" applyNumberFormat="1" applyBorder="1" applyAlignment="1">
      <alignment horizontal="center"/>
    </xf>
    <xf numFmtId="3" fontId="0" fillId="0" borderId="9" xfId="0" applyNumberFormat="1" applyBorder="1" applyAlignment="1">
      <alignment/>
    </xf>
    <xf numFmtId="9" fontId="0" fillId="0" borderId="0" xfId="17" applyAlignment="1">
      <alignment/>
    </xf>
    <xf numFmtId="3"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3" fontId="0" fillId="0" borderId="10" xfId="0" applyNumberFormat="1" applyBorder="1" applyAlignment="1">
      <alignment horizontal="center"/>
    </xf>
    <xf numFmtId="3" fontId="0" fillId="0" borderId="0" xfId="0" applyNumberFormat="1" applyAlignment="1">
      <alignment horizontal="right"/>
    </xf>
    <xf numFmtId="3" fontId="0" fillId="0" borderId="0" xfId="0" applyNumberFormat="1" applyFont="1" applyAlignment="1">
      <alignment/>
    </xf>
    <xf numFmtId="3" fontId="0" fillId="0" borderId="11" xfId="0" applyNumberFormat="1" applyBorder="1" applyAlignment="1">
      <alignment horizontal="center"/>
    </xf>
    <xf numFmtId="3" fontId="0" fillId="0" borderId="12" xfId="0" applyNumberFormat="1" applyBorder="1" applyAlignment="1">
      <alignment/>
    </xf>
    <xf numFmtId="3" fontId="0" fillId="0" borderId="13"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xf>
    <xf numFmtId="3" fontId="2" fillId="0" borderId="12" xfId="0" applyNumberFormat="1" applyFont="1" applyBorder="1" applyAlignment="1">
      <alignment/>
    </xf>
    <xf numFmtId="3" fontId="2" fillId="0" borderId="2" xfId="0" applyNumberFormat="1"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xf>
    <xf numFmtId="3" fontId="2" fillId="0" borderId="11" xfId="0" applyNumberFormat="1" applyFont="1" applyBorder="1" applyAlignment="1">
      <alignment horizontal="center"/>
    </xf>
    <xf numFmtId="3" fontId="2" fillId="0" borderId="13" xfId="0" applyNumberFormat="1" applyFont="1" applyBorder="1" applyAlignment="1">
      <alignment horizontal="center"/>
    </xf>
    <xf numFmtId="3" fontId="2" fillId="0" borderId="0" xfId="0" applyNumberFormat="1" applyFont="1" applyBorder="1" applyAlignment="1">
      <alignment/>
    </xf>
    <xf numFmtId="0" fontId="2" fillId="0" borderId="0" xfId="0" applyFont="1" applyBorder="1" applyAlignment="1">
      <alignment/>
    </xf>
    <xf numFmtId="3" fontId="2" fillId="0" borderId="3" xfId="0" applyNumberFormat="1" applyFont="1" applyBorder="1" applyAlignment="1">
      <alignment/>
    </xf>
    <xf numFmtId="3" fontId="2" fillId="0" borderId="4" xfId="0" applyNumberFormat="1" applyFont="1" applyBorder="1" applyAlignment="1">
      <alignment horizontal="center"/>
    </xf>
    <xf numFmtId="3" fontId="2" fillId="0" borderId="4" xfId="0" applyNumberFormat="1" applyFont="1" applyBorder="1" applyAlignment="1">
      <alignment/>
    </xf>
    <xf numFmtId="3" fontId="2" fillId="0" borderId="14" xfId="0" applyNumberFormat="1" applyFont="1" applyBorder="1" applyAlignment="1">
      <alignment horizontal="center"/>
    </xf>
    <xf numFmtId="3" fontId="2" fillId="0" borderId="6" xfId="0" applyNumberFormat="1" applyFont="1" applyBorder="1" applyAlignment="1">
      <alignment/>
    </xf>
    <xf numFmtId="3" fontId="2" fillId="0" borderId="7" xfId="0" applyNumberFormat="1" applyFont="1" applyBorder="1" applyAlignment="1">
      <alignment/>
    </xf>
    <xf numFmtId="3" fontId="2" fillId="0" borderId="9" xfId="0" applyNumberFormat="1" applyFont="1" applyBorder="1" applyAlignment="1">
      <alignment/>
    </xf>
    <xf numFmtId="3" fontId="2" fillId="0" borderId="7" xfId="0" applyNumberFormat="1"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horizontal="center"/>
    </xf>
    <xf numFmtId="9" fontId="0" fillId="0" borderId="7" xfId="17" applyBorder="1" applyAlignment="1">
      <alignment horizontal="center"/>
    </xf>
    <xf numFmtId="9" fontId="0" fillId="0" borderId="8" xfId="17" applyBorder="1" applyAlignment="1">
      <alignment horizontal="center"/>
    </xf>
    <xf numFmtId="9" fontId="0" fillId="0" borderId="0" xfId="0" applyNumberFormat="1" applyAlignment="1">
      <alignment/>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center"/>
    </xf>
    <xf numFmtId="3" fontId="2" fillId="0" borderId="0" xfId="0" applyNumberFormat="1" applyFont="1" applyAlignment="1">
      <alignment horizontal="right"/>
    </xf>
    <xf numFmtId="0" fontId="2" fillId="0" borderId="0" xfId="0" applyFont="1" applyAlignment="1">
      <alignment/>
    </xf>
    <xf numFmtId="9" fontId="2" fillId="0" borderId="0" xfId="17" applyFont="1" applyAlignment="1">
      <alignment/>
    </xf>
    <xf numFmtId="0" fontId="2" fillId="0" borderId="0" xfId="0" applyFont="1" applyAlignment="1">
      <alignment horizontal="center"/>
    </xf>
    <xf numFmtId="3" fontId="3" fillId="0" borderId="0" xfId="0" applyNumberFormat="1" applyFont="1" applyBorder="1" applyAlignment="1">
      <alignment/>
    </xf>
    <xf numFmtId="3" fontId="3" fillId="0" borderId="0" xfId="0" applyNumberFormat="1" applyFont="1" applyBorder="1" applyAlignment="1">
      <alignment horizontal="center"/>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3" fontId="0" fillId="0" borderId="0" xfId="0" applyNumberFormat="1" applyFont="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0" fontId="4" fillId="0" borderId="0" xfId="0" applyFont="1" applyAlignment="1">
      <alignment/>
    </xf>
    <xf numFmtId="3" fontId="2" fillId="0" borderId="10" xfId="0" applyNumberFormat="1" applyFont="1" applyBorder="1" applyAlignment="1">
      <alignment horizontal="center"/>
    </xf>
    <xf numFmtId="3" fontId="3" fillId="0" borderId="0" xfId="0" applyNumberFormat="1" applyFont="1" applyAlignment="1">
      <alignment horizontal="center"/>
    </xf>
    <xf numFmtId="3" fontId="0" fillId="0" borderId="1" xfId="0" applyNumberFormat="1" applyFont="1" applyBorder="1" applyAlignment="1">
      <alignment/>
    </xf>
    <xf numFmtId="3" fontId="0" fillId="0" borderId="4" xfId="0" applyNumberFormat="1" applyFont="1" applyBorder="1" applyAlignment="1">
      <alignment/>
    </xf>
    <xf numFmtId="3" fontId="0" fillId="0" borderId="7" xfId="0" applyNumberFormat="1" applyFont="1" applyBorder="1" applyAlignment="1">
      <alignment/>
    </xf>
    <xf numFmtId="3" fontId="2" fillId="0" borderId="0" xfId="0" applyNumberFormat="1" applyFont="1" applyBorder="1" applyAlignment="1">
      <alignment horizontal="center"/>
    </xf>
    <xf numFmtId="9" fontId="0" fillId="0" borderId="0" xfId="17" applyFont="1" applyAlignment="1">
      <alignment/>
    </xf>
    <xf numFmtId="3" fontId="2" fillId="0" borderId="0" xfId="0" applyNumberFormat="1" applyFont="1" applyAlignment="1">
      <alignment horizontal="left"/>
    </xf>
    <xf numFmtId="3" fontId="3" fillId="0" borderId="0" xfId="0" applyNumberFormat="1" applyFont="1" applyAlignment="1">
      <alignment horizontal="left"/>
    </xf>
    <xf numFmtId="0" fontId="2" fillId="0" borderId="0" xfId="0" applyFont="1" applyAlignment="1">
      <alignment horizontal="left"/>
    </xf>
    <xf numFmtId="3" fontId="3" fillId="0" borderId="0" xfId="0" applyNumberFormat="1" applyFont="1" applyBorder="1" applyAlignment="1">
      <alignment horizontal="left"/>
    </xf>
    <xf numFmtId="3" fontId="0" fillId="0" borderId="0" xfId="0" applyNumberFormat="1" applyFont="1" applyAlignment="1">
      <alignment horizontal="right"/>
    </xf>
    <xf numFmtId="9" fontId="0" fillId="0" borderId="0" xfId="17" applyAlignment="1">
      <alignment horizontal="right"/>
    </xf>
    <xf numFmtId="3" fontId="0" fillId="0" borderId="0" xfId="0" applyNumberFormat="1" applyAlignment="1">
      <alignment horizontal="left"/>
    </xf>
    <xf numFmtId="3" fontId="0" fillId="0" borderId="0" xfId="0" applyNumberFormat="1" applyBorder="1" applyAlignment="1">
      <alignment horizontal="center"/>
    </xf>
    <xf numFmtId="3" fontId="5" fillId="0" borderId="0" xfId="0" applyNumberFormat="1" applyFont="1" applyAlignment="1">
      <alignment horizontal="left"/>
    </xf>
    <xf numFmtId="3" fontId="0" fillId="0" borderId="11" xfId="0" applyNumberFormat="1" applyBorder="1" applyAlignment="1">
      <alignment/>
    </xf>
    <xf numFmtId="3" fontId="0" fillId="0" borderId="16" xfId="0" applyNumberFormat="1" applyBorder="1" applyAlignment="1">
      <alignment/>
    </xf>
    <xf numFmtId="3" fontId="0" fillId="0" borderId="2" xfId="0" applyNumberFormat="1" applyBorder="1" applyAlignment="1">
      <alignment/>
    </xf>
    <xf numFmtId="3"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3" fontId="1" fillId="0" borderId="0" xfId="0" applyNumberFormat="1" applyFont="1" applyAlignment="1">
      <alignment/>
    </xf>
    <xf numFmtId="3" fontId="1" fillId="0" borderId="0"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6" fillId="0" borderId="0" xfId="0" applyFont="1" applyAlignment="1">
      <alignment/>
    </xf>
    <xf numFmtId="3" fontId="0" fillId="0" borderId="19" xfId="0" applyNumberFormat="1" applyBorder="1" applyAlignment="1">
      <alignment horizontal="center"/>
    </xf>
    <xf numFmtId="3" fontId="0" fillId="0" borderId="20" xfId="0" applyNumberFormat="1" applyBorder="1" applyAlignment="1">
      <alignment/>
    </xf>
    <xf numFmtId="3" fontId="2" fillId="0" borderId="19" xfId="0" applyNumberFormat="1" applyFont="1" applyBorder="1" applyAlignment="1">
      <alignment horizontal="center"/>
    </xf>
    <xf numFmtId="3" fontId="0" fillId="0" borderId="21" xfId="0" applyNumberFormat="1" applyBorder="1" applyAlignment="1">
      <alignment horizontal="center"/>
    </xf>
    <xf numFmtId="3" fontId="2" fillId="0" borderId="16" xfId="0" applyNumberFormat="1" applyFont="1" applyBorder="1" applyAlignment="1">
      <alignment/>
    </xf>
    <xf numFmtId="3" fontId="2" fillId="0" borderId="20" xfId="0" applyNumberFormat="1" applyFont="1" applyBorder="1" applyAlignment="1">
      <alignment/>
    </xf>
    <xf numFmtId="3" fontId="0" fillId="0" borderId="22" xfId="0" applyNumberFormat="1" applyBorder="1" applyAlignment="1">
      <alignment/>
    </xf>
    <xf numFmtId="0" fontId="1" fillId="0" borderId="0" xfId="0" applyFont="1" applyAlignment="1">
      <alignment/>
    </xf>
    <xf numFmtId="0" fontId="0" fillId="0" borderId="17" xfId="0" applyBorder="1" applyAlignment="1">
      <alignment/>
    </xf>
    <xf numFmtId="0" fontId="0" fillId="0" borderId="18" xfId="0" applyBorder="1" applyAlignment="1">
      <alignment/>
    </xf>
    <xf numFmtId="3" fontId="2" fillId="0" borderId="23" xfId="0" applyNumberFormat="1" applyFont="1" applyBorder="1" applyAlignment="1">
      <alignment horizontal="center"/>
    </xf>
    <xf numFmtId="3" fontId="2" fillId="0" borderId="24" xfId="0" applyNumberFormat="1" applyFont="1" applyBorder="1" applyAlignment="1">
      <alignment/>
    </xf>
    <xf numFmtId="3" fontId="0" fillId="0" borderId="23" xfId="0" applyNumberFormat="1" applyBorder="1" applyAlignment="1">
      <alignment horizontal="center"/>
    </xf>
    <xf numFmtId="3" fontId="0" fillId="0" borderId="24" xfId="0" applyNumberFormat="1" applyBorder="1" applyAlignment="1">
      <alignment horizontal="center"/>
    </xf>
    <xf numFmtId="3" fontId="2" fillId="0" borderId="24" xfId="0" applyNumberFormat="1" applyFont="1" applyBorder="1" applyAlignment="1">
      <alignment horizontal="center"/>
    </xf>
    <xf numFmtId="3" fontId="2" fillId="0" borderId="20" xfId="0" applyNumberFormat="1" applyFont="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0" xfId="0" applyFont="1" applyAlignment="1">
      <alignment/>
    </xf>
    <xf numFmtId="0" fontId="5" fillId="0" borderId="0" xfId="0" applyFont="1" applyAlignment="1">
      <alignment/>
    </xf>
    <xf numFmtId="3" fontId="3" fillId="0" borderId="0" xfId="0" applyNumberFormat="1" applyFont="1" applyAlignment="1">
      <alignment/>
    </xf>
    <xf numFmtId="0" fontId="0" fillId="0" borderId="17" xfId="0" applyFont="1" applyBorder="1" applyAlignment="1">
      <alignment/>
    </xf>
    <xf numFmtId="0" fontId="0" fillId="0" borderId="18" xfId="0" applyFont="1" applyBorder="1" applyAlignment="1">
      <alignment/>
    </xf>
    <xf numFmtId="3" fontId="2" fillId="0" borderId="0" xfId="0" applyNumberFormat="1" applyFont="1" applyAlignment="1">
      <alignmen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3" fontId="2" fillId="0" borderId="15" xfId="0" applyNumberFormat="1" applyFont="1" applyBorder="1" applyAlignment="1">
      <alignment horizontal="center"/>
    </xf>
    <xf numFmtId="1" fontId="0" fillId="0" borderId="9" xfId="0" applyNumberFormat="1" applyBorder="1" applyAlignment="1">
      <alignment horizontal="center"/>
    </xf>
    <xf numFmtId="3" fontId="1" fillId="0" borderId="0" xfId="0" applyNumberFormat="1" applyFont="1" applyAlignment="1">
      <alignment horizontal="right"/>
    </xf>
    <xf numFmtId="0" fontId="0" fillId="0" borderId="7" xfId="0" applyNumberFormat="1" applyFont="1" applyBorder="1" applyAlignment="1">
      <alignment horizontal="center"/>
    </xf>
    <xf numFmtId="0" fontId="0" fillId="0" borderId="7" xfId="0" applyNumberFormat="1" applyBorder="1" applyAlignment="1">
      <alignment horizontal="center"/>
    </xf>
    <xf numFmtId="9" fontId="0" fillId="0" borderId="0" xfId="17" applyFont="1" applyAlignment="1">
      <alignment/>
    </xf>
    <xf numFmtId="0" fontId="0" fillId="0" borderId="0" xfId="0" applyFont="1" applyAlignment="1">
      <alignment/>
    </xf>
    <xf numFmtId="3" fontId="0" fillId="0" borderId="11" xfId="0" applyNumberFormat="1" applyFont="1" applyBorder="1" applyAlignment="1">
      <alignment/>
    </xf>
    <xf numFmtId="3" fontId="0" fillId="0" borderId="2" xfId="0" applyNumberFormat="1" applyFont="1" applyBorder="1" applyAlignment="1">
      <alignment/>
    </xf>
    <xf numFmtId="3" fontId="0" fillId="0" borderId="4" xfId="0" applyNumberFormat="1" applyFont="1" applyBorder="1" applyAlignment="1">
      <alignment horizontal="center"/>
    </xf>
    <xf numFmtId="3" fontId="0" fillId="0" borderId="7" xfId="0" applyNumberFormat="1" applyFont="1" applyBorder="1" applyAlignment="1">
      <alignment horizontal="center"/>
    </xf>
    <xf numFmtId="3" fontId="0" fillId="0" borderId="0" xfId="0" applyNumberFormat="1" applyFont="1" applyAlignment="1">
      <alignment horizontal="left"/>
    </xf>
    <xf numFmtId="3" fontId="0" fillId="0" borderId="0" xfId="0" applyNumberFormat="1" applyFont="1" applyAlignment="1">
      <alignment/>
    </xf>
    <xf numFmtId="3" fontId="3" fillId="0" borderId="0" xfId="0" applyNumberFormat="1" applyFont="1" applyBorder="1" applyAlignment="1">
      <alignment horizontal="right"/>
    </xf>
    <xf numFmtId="183" fontId="0" fillId="0" borderId="0" xfId="0" applyNumberFormat="1" applyAlignment="1">
      <alignment/>
    </xf>
    <xf numFmtId="3" fontId="4" fillId="0" borderId="0" xfId="0" applyNumberFormat="1" applyFont="1" applyAlignment="1">
      <alignment horizontal="right"/>
    </xf>
    <xf numFmtId="183" fontId="0" fillId="0" borderId="0" xfId="0" applyNumberFormat="1" applyAlignment="1">
      <alignment/>
    </xf>
    <xf numFmtId="3" fontId="0" fillId="0" borderId="0" xfId="0" applyNumberFormat="1" applyBorder="1" applyAlignment="1">
      <alignment horizontal="left"/>
    </xf>
    <xf numFmtId="177" fontId="0" fillId="0" borderId="0" xfId="0" applyNumberFormat="1" applyFont="1" applyAlignment="1">
      <alignment/>
    </xf>
    <xf numFmtId="3" fontId="4" fillId="0" borderId="0" xfId="0" applyNumberFormat="1" applyFont="1" applyAlignment="1">
      <alignment horizontal="center"/>
    </xf>
    <xf numFmtId="3" fontId="9" fillId="0" borderId="0" xfId="0" applyNumberFormat="1" applyFont="1" applyAlignment="1">
      <alignment horizontal="left"/>
    </xf>
    <xf numFmtId="3" fontId="0" fillId="0" borderId="1" xfId="0" applyNumberFormat="1" applyFont="1" applyBorder="1" applyAlignment="1">
      <alignment horizontal="right"/>
    </xf>
    <xf numFmtId="3" fontId="0" fillId="0" borderId="1" xfId="0" applyNumberFormat="1" applyFont="1" applyBorder="1" applyAlignment="1">
      <alignment horizontal="center"/>
    </xf>
    <xf numFmtId="3" fontId="0" fillId="0" borderId="11" xfId="0" applyNumberFormat="1" applyFont="1" applyBorder="1" applyAlignment="1">
      <alignment horizontal="center"/>
    </xf>
    <xf numFmtId="3" fontId="0" fillId="0" borderId="19" xfId="0" applyNumberFormat="1" applyFont="1" applyBorder="1" applyAlignment="1">
      <alignment horizontal="center"/>
    </xf>
    <xf numFmtId="3" fontId="0" fillId="0" borderId="13" xfId="0" applyNumberFormat="1" applyFont="1" applyBorder="1" applyAlignment="1">
      <alignment horizontal="center"/>
    </xf>
    <xf numFmtId="3" fontId="0" fillId="0" borderId="2" xfId="0" applyNumberFormat="1" applyFont="1" applyBorder="1" applyAlignment="1">
      <alignment horizontal="center"/>
    </xf>
    <xf numFmtId="3" fontId="0" fillId="0" borderId="5" xfId="0" applyNumberFormat="1" applyFont="1" applyBorder="1" applyAlignment="1">
      <alignment/>
    </xf>
    <xf numFmtId="3" fontId="0" fillId="0" borderId="9" xfId="0" applyNumberFormat="1" applyFont="1" applyBorder="1" applyAlignment="1">
      <alignment/>
    </xf>
    <xf numFmtId="3" fontId="0" fillId="0" borderId="12" xfId="0" applyNumberFormat="1" applyFont="1" applyBorder="1" applyAlignment="1">
      <alignment/>
    </xf>
    <xf numFmtId="0" fontId="0" fillId="0" borderId="0" xfId="0" applyFont="1" applyBorder="1" applyAlignment="1">
      <alignment/>
    </xf>
    <xf numFmtId="3" fontId="0" fillId="0" borderId="3" xfId="0" applyNumberFormat="1" applyFont="1" applyBorder="1" applyAlignment="1">
      <alignment/>
    </xf>
    <xf numFmtId="3" fontId="0" fillId="0" borderId="4" xfId="0" applyNumberFormat="1" applyFont="1" applyBorder="1" applyAlignment="1">
      <alignment horizontal="right"/>
    </xf>
    <xf numFmtId="0" fontId="0" fillId="0" borderId="4" xfId="0" applyNumberFormat="1" applyFont="1" applyBorder="1" applyAlignment="1">
      <alignment horizontal="center"/>
    </xf>
    <xf numFmtId="17" fontId="0" fillId="0" borderId="4" xfId="0" applyNumberFormat="1" applyFont="1" applyBorder="1" applyAlignment="1">
      <alignment horizontal="center"/>
    </xf>
    <xf numFmtId="3" fontId="0" fillId="0" borderId="5" xfId="0" applyNumberFormat="1" applyFont="1" applyBorder="1" applyAlignment="1">
      <alignment horizontal="center"/>
    </xf>
    <xf numFmtId="0" fontId="0" fillId="0" borderId="22" xfId="0" applyFont="1" applyBorder="1" applyAlignment="1">
      <alignment/>
    </xf>
    <xf numFmtId="0" fontId="0" fillId="0" borderId="15" xfId="0" applyFont="1" applyBorder="1" applyAlignment="1">
      <alignment/>
    </xf>
    <xf numFmtId="3" fontId="0" fillId="0" borderId="14" xfId="0" applyNumberFormat="1" applyFont="1" applyBorder="1" applyAlignment="1">
      <alignment horizontal="center"/>
    </xf>
    <xf numFmtId="3" fontId="0" fillId="0" borderId="6" xfId="0" applyNumberFormat="1" applyFont="1" applyBorder="1" applyAlignment="1">
      <alignment/>
    </xf>
    <xf numFmtId="3" fontId="0" fillId="0" borderId="7" xfId="0" applyNumberFormat="1" applyFont="1" applyBorder="1" applyAlignment="1">
      <alignment horizontal="right"/>
    </xf>
    <xf numFmtId="1" fontId="0" fillId="0" borderId="9" xfId="0" applyNumberFormat="1" applyFont="1" applyBorder="1" applyAlignment="1">
      <alignment horizontal="center"/>
    </xf>
    <xf numFmtId="3" fontId="0" fillId="0" borderId="16" xfId="0" applyNumberFormat="1" applyFont="1" applyBorder="1" applyAlignment="1">
      <alignment/>
    </xf>
    <xf numFmtId="3" fontId="0" fillId="0" borderId="20" xfId="0" applyNumberFormat="1" applyFont="1" applyBorder="1" applyAlignment="1">
      <alignment/>
    </xf>
    <xf numFmtId="3" fontId="0" fillId="0" borderId="15" xfId="0" applyNumberFormat="1" applyFont="1" applyBorder="1" applyAlignment="1">
      <alignment/>
    </xf>
    <xf numFmtId="3" fontId="0" fillId="0" borderId="0" xfId="0" applyNumberFormat="1" applyFont="1" applyBorder="1" applyAlignment="1">
      <alignment horizontal="center"/>
    </xf>
    <xf numFmtId="9" fontId="0" fillId="0" borderId="0" xfId="17" applyFont="1" applyBorder="1" applyAlignment="1">
      <alignment horizontal="center"/>
    </xf>
    <xf numFmtId="3" fontId="6" fillId="0" borderId="0" xfId="0" applyNumberFormat="1" applyFont="1" applyBorder="1" applyAlignment="1">
      <alignment horizontal="center"/>
    </xf>
    <xf numFmtId="0" fontId="0" fillId="0" borderId="0" xfId="0" applyFont="1" applyAlignment="1">
      <alignment horizontal="right"/>
    </xf>
    <xf numFmtId="3" fontId="4" fillId="0" borderId="0" xfId="0" applyNumberFormat="1" applyFont="1" applyBorder="1" applyAlignment="1">
      <alignment horizontal="center"/>
    </xf>
    <xf numFmtId="3" fontId="1" fillId="0" borderId="0" xfId="0" applyNumberFormat="1" applyFont="1" applyAlignment="1">
      <alignment horizontal="left"/>
    </xf>
    <xf numFmtId="3" fontId="0" fillId="0" borderId="7" xfId="0" applyNumberFormat="1" applyBorder="1" applyAlignment="1">
      <alignment horizontal="left"/>
    </xf>
    <xf numFmtId="3" fontId="6" fillId="0" borderId="0" xfId="0" applyNumberFormat="1" applyFont="1" applyBorder="1" applyAlignment="1">
      <alignment horizontal="left"/>
    </xf>
    <xf numFmtId="3" fontId="4" fillId="0" borderId="0" xfId="0" applyNumberFormat="1" applyFont="1" applyBorder="1" applyAlignment="1">
      <alignment horizontal="left"/>
    </xf>
    <xf numFmtId="3" fontId="1" fillId="0" borderId="0" xfId="0" applyNumberFormat="1" applyFont="1" applyAlignment="1">
      <alignment/>
    </xf>
    <xf numFmtId="3" fontId="1" fillId="0" borderId="0" xfId="0" applyNumberFormat="1" applyFont="1" applyAlignment="1">
      <alignment horizontal="center"/>
    </xf>
    <xf numFmtId="3" fontId="0" fillId="0" borderId="0" xfId="0" applyNumberFormat="1" applyFont="1" applyAlignment="1">
      <alignment/>
    </xf>
    <xf numFmtId="3" fontId="0" fillId="0" borderId="0" xfId="0" applyNumberFormat="1" applyFont="1" applyAlignment="1">
      <alignment horizontal="center"/>
    </xf>
    <xf numFmtId="0" fontId="0" fillId="0" borderId="0" xfId="0" applyFont="1" applyAlignment="1">
      <alignment/>
    </xf>
    <xf numFmtId="3" fontId="0" fillId="0" borderId="12" xfId="0" applyNumberFormat="1" applyFont="1" applyBorder="1" applyAlignment="1">
      <alignment/>
    </xf>
    <xf numFmtId="3" fontId="0" fillId="0" borderId="19" xfId="0" applyNumberFormat="1" applyFont="1" applyBorder="1" applyAlignment="1">
      <alignment horizontal="center"/>
    </xf>
    <xf numFmtId="3" fontId="0" fillId="0" borderId="2" xfId="0" applyNumberFormat="1" applyFont="1" applyBorder="1" applyAlignment="1">
      <alignment horizontal="center"/>
    </xf>
    <xf numFmtId="3" fontId="0" fillId="0" borderId="1" xfId="0" applyNumberFormat="1" applyFont="1" applyBorder="1" applyAlignment="1">
      <alignment/>
    </xf>
    <xf numFmtId="3" fontId="0" fillId="0" borderId="11" xfId="0" applyNumberFormat="1" applyFont="1" applyBorder="1" applyAlignment="1">
      <alignment/>
    </xf>
    <xf numFmtId="3" fontId="0" fillId="0" borderId="2" xfId="0" applyNumberFormat="1" applyFont="1" applyBorder="1" applyAlignment="1">
      <alignment/>
    </xf>
    <xf numFmtId="3" fontId="0" fillId="0" borderId="1" xfId="0" applyNumberFormat="1" applyFont="1" applyBorder="1" applyAlignment="1">
      <alignment horizontal="center"/>
    </xf>
    <xf numFmtId="3" fontId="0" fillId="0" borderId="10" xfId="0" applyNumberFormat="1" applyFont="1" applyBorder="1" applyAlignment="1">
      <alignment horizontal="center"/>
    </xf>
    <xf numFmtId="3" fontId="0" fillId="0" borderId="23" xfId="0" applyNumberFormat="1" applyFont="1" applyBorder="1" applyAlignment="1">
      <alignment horizontal="center"/>
    </xf>
    <xf numFmtId="3" fontId="0" fillId="0" borderId="0" xfId="0" applyNumberFormat="1" applyFont="1" applyBorder="1" applyAlignment="1">
      <alignment/>
    </xf>
    <xf numFmtId="0" fontId="0" fillId="0" borderId="0" xfId="0" applyFont="1" applyBorder="1" applyAlignment="1">
      <alignment/>
    </xf>
    <xf numFmtId="3" fontId="0" fillId="0" borderId="3" xfId="0" applyNumberFormat="1" applyFont="1" applyBorder="1" applyAlignment="1">
      <alignment/>
    </xf>
    <xf numFmtId="3" fontId="0" fillId="0" borderId="5" xfId="0" applyNumberFormat="1" applyFont="1" applyBorder="1" applyAlignment="1">
      <alignment/>
    </xf>
    <xf numFmtId="3" fontId="0" fillId="0" borderId="4" xfId="0" applyNumberFormat="1" applyFont="1" applyBorder="1" applyAlignment="1">
      <alignment/>
    </xf>
    <xf numFmtId="17"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4" xfId="0" applyNumberFormat="1" applyFont="1" applyBorder="1" applyAlignment="1">
      <alignment horizontal="center"/>
    </xf>
    <xf numFmtId="3" fontId="0" fillId="0" borderId="24" xfId="0" applyNumberFormat="1" applyFont="1" applyBorder="1" applyAlignment="1">
      <alignment horizontal="center"/>
    </xf>
    <xf numFmtId="3" fontId="0" fillId="0" borderId="6" xfId="0" applyNumberFormat="1" applyFont="1" applyBorder="1" applyAlignment="1">
      <alignment/>
    </xf>
    <xf numFmtId="3" fontId="0" fillId="0" borderId="7" xfId="0" applyNumberFormat="1" applyFont="1" applyBorder="1" applyAlignment="1">
      <alignment/>
    </xf>
    <xf numFmtId="3" fontId="0" fillId="0" borderId="7" xfId="0" applyNumberFormat="1" applyFont="1" applyBorder="1" applyAlignment="1">
      <alignment horizontal="center"/>
    </xf>
    <xf numFmtId="3" fontId="0" fillId="0" borderId="9" xfId="0" applyNumberFormat="1" applyFont="1" applyBorder="1" applyAlignment="1">
      <alignment/>
    </xf>
    <xf numFmtId="1" fontId="0" fillId="0" borderId="9" xfId="0" applyNumberFormat="1" applyFont="1" applyBorder="1" applyAlignment="1">
      <alignment horizontal="center"/>
    </xf>
    <xf numFmtId="0" fontId="0" fillId="0" borderId="7" xfId="0" applyNumberFormat="1" applyFont="1" applyBorder="1" applyAlignment="1">
      <alignment horizontal="center"/>
    </xf>
    <xf numFmtId="3" fontId="0" fillId="0" borderId="16" xfId="0" applyNumberFormat="1" applyFont="1" applyBorder="1" applyAlignment="1">
      <alignment/>
    </xf>
    <xf numFmtId="3" fontId="0" fillId="0" borderId="20" xfId="0" applyNumberFormat="1" applyFont="1" applyBorder="1" applyAlignment="1">
      <alignment/>
    </xf>
    <xf numFmtId="3" fontId="0" fillId="0" borderId="0" xfId="0" applyNumberFormat="1" applyFont="1" applyAlignment="1">
      <alignment horizontal="left"/>
    </xf>
    <xf numFmtId="3" fontId="0" fillId="0" borderId="0" xfId="0" applyNumberFormat="1" applyFont="1" applyAlignment="1">
      <alignment horizontal="right"/>
    </xf>
    <xf numFmtId="9" fontId="0" fillId="0" borderId="0" xfId="17" applyFont="1" applyAlignment="1">
      <alignment/>
    </xf>
    <xf numFmtId="0" fontId="1" fillId="0" borderId="0" xfId="0" applyFont="1" applyAlignment="1">
      <alignment/>
    </xf>
    <xf numFmtId="3" fontId="1" fillId="0" borderId="0" xfId="0" applyNumberFormat="1" applyFont="1" applyBorder="1" applyAlignment="1">
      <alignment/>
    </xf>
    <xf numFmtId="3" fontId="1" fillId="0" borderId="0" xfId="0" applyNumberFormat="1" applyFont="1" applyBorder="1" applyAlignment="1">
      <alignment horizontal="center"/>
    </xf>
    <xf numFmtId="3" fontId="0" fillId="0" borderId="0" xfId="0" applyNumberFormat="1" applyFont="1" applyAlignment="1">
      <alignment/>
    </xf>
    <xf numFmtId="0" fontId="0" fillId="0" borderId="0" xfId="0" applyFont="1" applyAlignment="1">
      <alignment horizontal="center"/>
    </xf>
    <xf numFmtId="9" fontId="1" fillId="0" borderId="0" xfId="17" applyFont="1" applyAlignment="1">
      <alignment/>
    </xf>
    <xf numFmtId="3" fontId="2" fillId="0" borderId="5" xfId="0" applyNumberFormat="1" applyFont="1" applyBorder="1" applyAlignment="1">
      <alignment/>
    </xf>
    <xf numFmtId="3" fontId="0" fillId="0" borderId="0" xfId="0" applyNumberFormat="1" applyFont="1" applyAlignment="1">
      <alignment/>
    </xf>
    <xf numFmtId="3" fontId="1" fillId="0" borderId="0" xfId="0" applyNumberFormat="1" applyFont="1"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Font="1" applyAlignment="1">
      <alignment horizontal="left"/>
    </xf>
    <xf numFmtId="3" fontId="0" fillId="0" borderId="0" xfId="0" applyNumberFormat="1" applyFont="1" applyAlignment="1">
      <alignment horizontal="center"/>
    </xf>
    <xf numFmtId="3" fontId="0" fillId="0" borderId="0" xfId="0" applyNumberFormat="1" applyFont="1" applyAlignment="1">
      <alignment horizontal="right"/>
    </xf>
    <xf numFmtId="9" fontId="0" fillId="0" borderId="0" xfId="17" applyFont="1" applyAlignment="1">
      <alignment/>
    </xf>
    <xf numFmtId="3" fontId="0" fillId="0" borderId="0" xfId="0" applyNumberFormat="1" applyFont="1" applyAlignment="1">
      <alignment/>
    </xf>
    <xf numFmtId="3" fontId="0" fillId="0" borderId="0" xfId="0" applyNumberFormat="1" applyFont="1" applyAlignment="1">
      <alignment horizontal="center"/>
    </xf>
    <xf numFmtId="9" fontId="0" fillId="0" borderId="7" xfId="17" applyFont="1" applyBorder="1" applyAlignment="1">
      <alignment horizontal="center"/>
    </xf>
    <xf numFmtId="9" fontId="0" fillId="0" borderId="0" xfId="17" applyFont="1" applyBorder="1" applyAlignment="1">
      <alignment horizontal="center"/>
    </xf>
    <xf numFmtId="3" fontId="0" fillId="0" borderId="0" xfId="0" applyNumberFormat="1" applyFont="1" applyBorder="1" applyAlignment="1">
      <alignment horizontal="right"/>
    </xf>
    <xf numFmtId="1" fontId="0" fillId="0" borderId="0" xfId="0" applyNumberFormat="1" applyFont="1" applyBorder="1" applyAlignment="1">
      <alignment horizontal="center"/>
    </xf>
    <xf numFmtId="0" fontId="0" fillId="0" borderId="0" xfId="0" applyNumberFormat="1" applyFont="1" applyBorder="1" applyAlignment="1">
      <alignment horizontal="center"/>
    </xf>
    <xf numFmtId="0" fontId="2" fillId="0" borderId="20" xfId="0" applyFont="1" applyBorder="1" applyAlignment="1">
      <alignment/>
    </xf>
    <xf numFmtId="3" fontId="3" fillId="0" borderId="0" xfId="0" applyNumberFormat="1" applyFont="1" applyBorder="1" applyAlignment="1">
      <alignment horizontal="center"/>
    </xf>
    <xf numFmtId="3" fontId="2" fillId="0" borderId="27" xfId="0" applyNumberFormat="1" applyFont="1" applyBorder="1" applyAlignment="1">
      <alignment horizontal="center"/>
    </xf>
    <xf numFmtId="3" fontId="0" fillId="0" borderId="12" xfId="0" applyNumberFormat="1" applyFont="1" applyBorder="1" applyAlignment="1">
      <alignment horizontal="center"/>
    </xf>
    <xf numFmtId="4" fontId="1" fillId="0" borderId="0" xfId="0" applyNumberFormat="1" applyFont="1" applyAlignment="1">
      <alignment horizontal="right"/>
    </xf>
    <xf numFmtId="3" fontId="0" fillId="0" borderId="27" xfId="0" applyNumberFormat="1" applyFont="1" applyBorder="1" applyAlignment="1">
      <alignment horizontal="center"/>
    </xf>
    <xf numFmtId="3" fontId="0" fillId="0" borderId="23" xfId="0" applyNumberFormat="1" applyFont="1" applyBorder="1" applyAlignment="1">
      <alignment horizontal="center"/>
    </xf>
    <xf numFmtId="3" fontId="0" fillId="0" borderId="24" xfId="0" applyNumberFormat="1" applyFont="1" applyBorder="1" applyAlignment="1">
      <alignment horizontal="center"/>
    </xf>
    <xf numFmtId="3" fontId="0" fillId="0" borderId="23" xfId="0" applyNumberFormat="1" applyFont="1" applyBorder="1" applyAlignment="1">
      <alignment/>
    </xf>
    <xf numFmtId="3" fontId="0" fillId="0" borderId="22" xfId="0" applyNumberFormat="1" applyFont="1" applyBorder="1" applyAlignment="1">
      <alignment/>
    </xf>
    <xf numFmtId="3" fontId="0" fillId="0" borderId="11" xfId="0" applyNumberFormat="1" applyFont="1" applyBorder="1" applyAlignment="1">
      <alignment horizontal="center"/>
    </xf>
    <xf numFmtId="9" fontId="0" fillId="0" borderId="16" xfId="17" applyFont="1" applyBorder="1" applyAlignment="1">
      <alignment horizontal="center"/>
    </xf>
    <xf numFmtId="3" fontId="0" fillId="0" borderId="20" xfId="0" applyNumberFormat="1" applyFont="1" applyBorder="1" applyAlignment="1">
      <alignment horizontal="center"/>
    </xf>
    <xf numFmtId="3" fontId="0" fillId="0" borderId="8" xfId="0" applyNumberFormat="1" applyFont="1" applyBorder="1" applyAlignment="1">
      <alignment/>
    </xf>
    <xf numFmtId="3" fontId="0" fillId="0" borderId="27" xfId="0" applyNumberFormat="1" applyFont="1" applyBorder="1" applyAlignment="1">
      <alignment horizontal="center"/>
    </xf>
    <xf numFmtId="9" fontId="0" fillId="0" borderId="20" xfId="17" applyFont="1" applyBorder="1" applyAlignment="1">
      <alignment horizontal="center"/>
    </xf>
    <xf numFmtId="3" fontId="0" fillId="0" borderId="0" xfId="0" applyNumberFormat="1" applyFont="1" applyBorder="1" applyAlignment="1">
      <alignment horizontal="center"/>
    </xf>
    <xf numFmtId="3" fontId="0" fillId="0" borderId="23" xfId="0" applyNumberFormat="1" applyFont="1" applyBorder="1" applyAlignment="1">
      <alignment/>
    </xf>
    <xf numFmtId="3" fontId="0" fillId="0" borderId="10" xfId="0" applyNumberFormat="1" applyFont="1" applyBorder="1" applyAlignment="1">
      <alignment/>
    </xf>
    <xf numFmtId="4" fontId="0" fillId="0" borderId="0" xfId="0" applyNumberFormat="1" applyFont="1" applyAlignment="1">
      <alignment/>
    </xf>
    <xf numFmtId="3" fontId="3" fillId="0" borderId="0" xfId="0" applyNumberFormat="1" applyFont="1" applyBorder="1" applyAlignment="1">
      <alignment horizontal="left"/>
    </xf>
    <xf numFmtId="3" fontId="3" fillId="0" borderId="0" xfId="0" applyNumberFormat="1" applyFont="1" applyBorder="1" applyAlignment="1">
      <alignment/>
    </xf>
    <xf numFmtId="2" fontId="3" fillId="0" borderId="0" xfId="0" applyNumberFormat="1" applyFont="1" applyAlignment="1">
      <alignment/>
    </xf>
    <xf numFmtId="4" fontId="0" fillId="0" borderId="0" xfId="0" applyNumberFormat="1" applyAlignment="1">
      <alignment/>
    </xf>
    <xf numFmtId="4" fontId="0" fillId="0" borderId="0" xfId="0" applyNumberFormat="1" applyFont="1" applyAlignment="1">
      <alignment/>
    </xf>
    <xf numFmtId="189" fontId="0" fillId="0" borderId="0" xfId="0" applyNumberFormat="1" applyFont="1" applyAlignment="1">
      <alignment horizontal="center"/>
    </xf>
    <xf numFmtId="9" fontId="0" fillId="0" borderId="0" xfId="0" applyNumberFormat="1" applyFont="1" applyBorder="1" applyAlignment="1">
      <alignment horizontal="center"/>
    </xf>
    <xf numFmtId="183" fontId="0" fillId="0" borderId="0" xfId="0" applyNumberFormat="1" applyFont="1" applyAlignment="1">
      <alignment/>
    </xf>
    <xf numFmtId="3" fontId="0" fillId="0" borderId="12" xfId="0" applyNumberFormat="1" applyBorder="1" applyAlignment="1">
      <alignment horizontal="center"/>
    </xf>
    <xf numFmtId="183" fontId="0" fillId="0" borderId="0" xfId="0" applyNumberFormat="1" applyBorder="1" applyAlignment="1">
      <alignment/>
    </xf>
    <xf numFmtId="3" fontId="2" fillId="0" borderId="28" xfId="0" applyNumberFormat="1" applyFont="1" applyBorder="1" applyAlignment="1">
      <alignment horizontal="center"/>
    </xf>
    <xf numFmtId="9" fontId="0" fillId="0" borderId="0" xfId="0" applyNumberFormat="1" applyAlignment="1">
      <alignment horizontal="right"/>
    </xf>
    <xf numFmtId="3" fontId="0" fillId="0" borderId="0" xfId="17" applyNumberFormat="1" applyFont="1" applyAlignment="1">
      <alignment/>
    </xf>
    <xf numFmtId="3" fontId="2" fillId="0" borderId="12" xfId="0" applyNumberFormat="1" applyFont="1" applyBorder="1" applyAlignment="1">
      <alignment horizontal="center"/>
    </xf>
    <xf numFmtId="9" fontId="0" fillId="0" borderId="0" xfId="17" applyFont="1" applyAlignment="1">
      <alignment horizontal="center"/>
    </xf>
    <xf numFmtId="0" fontId="0" fillId="0" borderId="0" xfId="0" applyFont="1" applyAlignment="1">
      <alignment horizontal="center"/>
    </xf>
    <xf numFmtId="0" fontId="0" fillId="0" borderId="23" xfId="0" applyFont="1" applyBorder="1" applyAlignment="1">
      <alignment/>
    </xf>
    <xf numFmtId="0" fontId="0" fillId="0" borderId="24" xfId="0" applyFont="1" applyBorder="1" applyAlignment="1">
      <alignment/>
    </xf>
    <xf numFmtId="0" fontId="0" fillId="0" borderId="20" xfId="0" applyFont="1" applyBorder="1" applyAlignment="1">
      <alignment/>
    </xf>
    <xf numFmtId="0" fontId="0" fillId="0" borderId="0" xfId="0" applyAlignment="1">
      <alignment vertical="center" wrapText="1"/>
    </xf>
    <xf numFmtId="1" fontId="0" fillId="0" borderId="0" xfId="0" applyNumberFormat="1" applyAlignment="1">
      <alignment/>
    </xf>
    <xf numFmtId="3" fontId="0" fillId="0" borderId="29" xfId="0" applyNumberFormat="1" applyFont="1" applyBorder="1" applyAlignment="1">
      <alignment horizontal="center"/>
    </xf>
    <xf numFmtId="0" fontId="0" fillId="0" borderId="24" xfId="0" applyFont="1" applyBorder="1" applyAlignment="1">
      <alignment horizontal="center"/>
    </xf>
    <xf numFmtId="0" fontId="1" fillId="0" borderId="30" xfId="0" applyFont="1" applyBorder="1" applyAlignment="1">
      <alignment/>
    </xf>
    <xf numFmtId="3" fontId="0" fillId="0" borderId="30" xfId="0" applyNumberFormat="1" applyBorder="1" applyAlignment="1">
      <alignment/>
    </xf>
    <xf numFmtId="0" fontId="0" fillId="0" borderId="30" xfId="0" applyBorder="1" applyAlignment="1">
      <alignment/>
    </xf>
    <xf numFmtId="1" fontId="0" fillId="0" borderId="30" xfId="0" applyNumberFormat="1" applyBorder="1" applyAlignment="1">
      <alignment/>
    </xf>
    <xf numFmtId="0" fontId="1" fillId="0" borderId="30" xfId="0" applyFont="1" applyBorder="1" applyAlignment="1">
      <alignment vertical="center" wrapText="1"/>
    </xf>
    <xf numFmtId="0" fontId="0" fillId="0" borderId="30" xfId="0" applyFont="1" applyBorder="1" applyAlignment="1">
      <alignment vertical="center" wrapText="1"/>
    </xf>
    <xf numFmtId="0" fontId="0" fillId="0" borderId="30" xfId="0" applyBorder="1" applyAlignment="1">
      <alignment vertical="center" wrapText="1"/>
    </xf>
    <xf numFmtId="0" fontId="1" fillId="0" borderId="30" xfId="0" applyFont="1" applyBorder="1" applyAlignment="1">
      <alignment wrapText="1"/>
    </xf>
    <xf numFmtId="0" fontId="0" fillId="0" borderId="30" xfId="0" applyBorder="1" applyAlignment="1">
      <alignment wrapText="1"/>
    </xf>
    <xf numFmtId="3" fontId="1" fillId="0" borderId="30" xfId="0" applyNumberFormat="1" applyFont="1" applyBorder="1" applyAlignment="1">
      <alignment/>
    </xf>
    <xf numFmtId="0" fontId="0" fillId="0" borderId="23" xfId="0" applyFont="1" applyBorder="1" applyAlignment="1">
      <alignment horizontal="center"/>
    </xf>
    <xf numFmtId="0" fontId="0" fillId="0" borderId="20" xfId="0" applyFont="1" applyBorder="1" applyAlignment="1">
      <alignment horizontal="center"/>
    </xf>
    <xf numFmtId="17" fontId="1" fillId="0" borderId="18" xfId="0" applyNumberFormat="1" applyFont="1" applyBorder="1" applyAlignment="1">
      <alignment/>
    </xf>
    <xf numFmtId="174" fontId="0" fillId="0" borderId="0" xfId="0" applyNumberFormat="1" applyAlignment="1">
      <alignment/>
    </xf>
    <xf numFmtId="3" fontId="6" fillId="0" borderId="0" xfId="0" applyNumberFormat="1" applyFont="1" applyAlignment="1">
      <alignment horizontal="right"/>
    </xf>
    <xf numFmtId="3" fontId="6" fillId="0" borderId="0" xfId="0" applyNumberFormat="1" applyFont="1" applyAlignment="1">
      <alignment/>
    </xf>
    <xf numFmtId="3" fontId="6" fillId="0" borderId="0" xfId="0" applyNumberFormat="1" applyFont="1" applyAlignment="1">
      <alignment horizontal="left"/>
    </xf>
    <xf numFmtId="3"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xf>
    <xf numFmtId="3" fontId="0" fillId="0" borderId="10" xfId="0" applyNumberFormat="1" applyBorder="1" applyAlignment="1">
      <alignment/>
    </xf>
    <xf numFmtId="0" fontId="0" fillId="0" borderId="10" xfId="0" applyFont="1"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3" fontId="0" fillId="0" borderId="29" xfId="0" applyNumberFormat="1" applyBorder="1" applyAlignment="1">
      <alignment/>
    </xf>
    <xf numFmtId="183" fontId="0" fillId="0" borderId="0" xfId="0" applyNumberFormat="1" applyBorder="1" applyAlignment="1">
      <alignment horizontal="left"/>
    </xf>
    <xf numFmtId="0" fontId="0" fillId="0" borderId="29" xfId="0" applyBorder="1" applyAlignment="1">
      <alignment/>
    </xf>
    <xf numFmtId="3" fontId="0" fillId="0" borderId="14" xfId="0" applyNumberFormat="1" applyBorder="1" applyAlignment="1">
      <alignment/>
    </xf>
    <xf numFmtId="3" fontId="0" fillId="0" borderId="8" xfId="0" applyNumberFormat="1" applyFont="1" applyBorder="1" applyAlignment="1">
      <alignment/>
    </xf>
    <xf numFmtId="0" fontId="0" fillId="0" borderId="8" xfId="0" applyFont="1" applyBorder="1" applyAlignment="1">
      <alignment/>
    </xf>
    <xf numFmtId="0" fontId="0" fillId="0" borderId="8" xfId="0" applyBorder="1" applyAlignment="1">
      <alignment/>
    </xf>
    <xf numFmtId="0" fontId="0" fillId="0" borderId="15" xfId="0" applyBorder="1" applyAlignment="1">
      <alignment/>
    </xf>
    <xf numFmtId="0" fontId="0" fillId="0" borderId="0" xfId="0" applyBorder="1" applyAlignment="1">
      <alignment horizontal="center"/>
    </xf>
    <xf numFmtId="0" fontId="0" fillId="0" borderId="12" xfId="0" applyBorder="1" applyAlignment="1">
      <alignment/>
    </xf>
    <xf numFmtId="0" fontId="0" fillId="0" borderId="12" xfId="0" applyFont="1" applyBorder="1" applyAlignment="1">
      <alignment horizontal="center"/>
    </xf>
    <xf numFmtId="0" fontId="0" fillId="0" borderId="10" xfId="0" applyFont="1" applyBorder="1" applyAlignment="1">
      <alignment horizontal="center"/>
    </xf>
    <xf numFmtId="3" fontId="0" fillId="0" borderId="10" xfId="0" applyNumberFormat="1" applyFont="1" applyBorder="1" applyAlignment="1">
      <alignment/>
    </xf>
    <xf numFmtId="3" fontId="0" fillId="0" borderId="13" xfId="0" applyNumberFormat="1" applyFont="1" applyBorder="1" applyAlignment="1">
      <alignment/>
    </xf>
    <xf numFmtId="3" fontId="0" fillId="0" borderId="29" xfId="0" applyNumberFormat="1" applyBorder="1" applyAlignment="1">
      <alignment/>
    </xf>
    <xf numFmtId="3" fontId="0" fillId="0" borderId="14" xfId="0" applyNumberFormat="1" applyBorder="1" applyAlignment="1">
      <alignment/>
    </xf>
    <xf numFmtId="183" fontId="0" fillId="0" borderId="14" xfId="0" applyNumberFormat="1" applyBorder="1" applyAlignment="1">
      <alignment horizontal="left"/>
    </xf>
    <xf numFmtId="0" fontId="0" fillId="0" borderId="0" xfId="0" applyFont="1" applyBorder="1" applyAlignment="1">
      <alignment horizontal="center"/>
    </xf>
    <xf numFmtId="0" fontId="2" fillId="0" borderId="27" xfId="0" applyFont="1" applyBorder="1" applyAlignment="1">
      <alignment/>
    </xf>
    <xf numFmtId="3" fontId="2" fillId="0" borderId="0" xfId="0" applyNumberFormat="1" applyFont="1" applyBorder="1" applyAlignment="1">
      <alignment/>
    </xf>
    <xf numFmtId="3" fontId="2" fillId="0" borderId="27" xfId="0" applyNumberFormat="1" applyFont="1" applyBorder="1" applyAlignment="1">
      <alignment/>
    </xf>
    <xf numFmtId="0" fontId="2" fillId="0" borderId="25" xfId="0" applyFont="1" applyBorder="1" applyAlignment="1">
      <alignment/>
    </xf>
    <xf numFmtId="0" fontId="2" fillId="0" borderId="31" xfId="0" applyFont="1" applyBorder="1" applyAlignment="1">
      <alignment/>
    </xf>
    <xf numFmtId="3" fontId="2" fillId="0" borderId="31" xfId="0" applyNumberFormat="1" applyFont="1" applyBorder="1" applyAlignment="1">
      <alignment/>
    </xf>
    <xf numFmtId="3" fontId="2" fillId="0" borderId="32" xfId="0" applyNumberFormat="1" applyFont="1" applyBorder="1" applyAlignment="1">
      <alignment/>
    </xf>
    <xf numFmtId="3" fontId="2" fillId="0" borderId="0" xfId="0" applyNumberFormat="1"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center"/>
    </xf>
    <xf numFmtId="0" fontId="2" fillId="0" borderId="5" xfId="0" applyFont="1" applyBorder="1" applyAlignment="1">
      <alignment/>
    </xf>
    <xf numFmtId="3" fontId="2" fillId="0" borderId="27" xfId="0" applyNumberFormat="1" applyFont="1" applyBorder="1" applyAlignment="1">
      <alignment/>
    </xf>
    <xf numFmtId="183" fontId="2" fillId="0" borderId="0" xfId="0" applyNumberFormat="1" applyFont="1" applyBorder="1" applyAlignment="1">
      <alignment horizontal="left"/>
    </xf>
    <xf numFmtId="3" fontId="2" fillId="0" borderId="26" xfId="0" applyNumberFormat="1" applyFont="1" applyBorder="1" applyAlignment="1">
      <alignment/>
    </xf>
    <xf numFmtId="3" fontId="2" fillId="0" borderId="33" xfId="0" applyNumberFormat="1" applyFont="1" applyBorder="1" applyAlignment="1">
      <alignment/>
    </xf>
    <xf numFmtId="3" fontId="2" fillId="0" borderId="34" xfId="0" applyNumberFormat="1" applyFont="1" applyBorder="1" applyAlignment="1">
      <alignment/>
    </xf>
    <xf numFmtId="2" fontId="0" fillId="0" borderId="0" xfId="0" applyNumberFormat="1" applyFont="1" applyAlignment="1">
      <alignment/>
    </xf>
    <xf numFmtId="2" fontId="0" fillId="0" borderId="0" xfId="17" applyNumberFormat="1" applyFont="1" applyAlignment="1">
      <alignment/>
    </xf>
    <xf numFmtId="9" fontId="0" fillId="0" borderId="0" xfId="17" applyNumberFormat="1" applyFont="1" applyAlignment="1">
      <alignment/>
    </xf>
    <xf numFmtId="1" fontId="0" fillId="0" borderId="0" xfId="0" applyNumberFormat="1" applyFont="1" applyAlignment="1">
      <alignment horizontal="right"/>
    </xf>
    <xf numFmtId="2" fontId="0" fillId="0" borderId="0" xfId="0" applyNumberFormat="1" applyFont="1" applyAlignment="1">
      <alignment horizontal="right"/>
    </xf>
    <xf numFmtId="2" fontId="1" fillId="0" borderId="0" xfId="0" applyNumberFormat="1" applyFont="1" applyAlignment="1">
      <alignment/>
    </xf>
    <xf numFmtId="1" fontId="1" fillId="0" borderId="0" xfId="0" applyNumberFormat="1" applyFont="1" applyAlignment="1">
      <alignment horizontal="center"/>
    </xf>
    <xf numFmtId="3" fontId="1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xf>
    <xf numFmtId="0" fontId="2" fillId="0" borderId="0" xfId="0" applyFont="1" applyBorder="1" applyAlignment="1">
      <alignment horizontal="center"/>
    </xf>
    <xf numFmtId="3" fontId="4" fillId="0" borderId="0" xfId="0" applyNumberFormat="1" applyFont="1" applyAlignment="1">
      <alignment/>
    </xf>
    <xf numFmtId="3" fontId="14" fillId="0" borderId="0" xfId="0" applyNumberFormat="1" applyFont="1" applyAlignment="1">
      <alignment/>
    </xf>
    <xf numFmtId="3" fontId="0" fillId="0" borderId="10" xfId="0" applyNumberFormat="1" applyFont="1" applyBorder="1" applyAlignment="1">
      <alignment horizontal="center"/>
    </xf>
    <xf numFmtId="3" fontId="0" fillId="0" borderId="5" xfId="0" applyNumberFormat="1" applyFont="1" applyBorder="1" applyAlignment="1">
      <alignment vertical="center"/>
    </xf>
    <xf numFmtId="3" fontId="0" fillId="0" borderId="16" xfId="0" applyNumberFormat="1" applyFont="1" applyBorder="1" applyAlignment="1">
      <alignment horizontal="center"/>
    </xf>
    <xf numFmtId="3" fontId="0" fillId="0" borderId="12" xfId="0" applyNumberFormat="1" applyFont="1" applyBorder="1" applyAlignment="1">
      <alignment horizontal="center" vertical="distributed"/>
    </xf>
    <xf numFmtId="3" fontId="0" fillId="0" borderId="29" xfId="0" applyNumberFormat="1" applyFont="1" applyBorder="1" applyAlignment="1">
      <alignment horizontal="center" vertical="distributed"/>
    </xf>
    <xf numFmtId="3" fontId="0" fillId="0" borderId="22" xfId="0" applyNumberFormat="1" applyFont="1" applyBorder="1" applyAlignment="1">
      <alignment horizontal="center" vertical="distributed"/>
    </xf>
    <xf numFmtId="0" fontId="0" fillId="0" borderId="20" xfId="0" applyFont="1" applyBorder="1" applyAlignment="1">
      <alignment/>
    </xf>
    <xf numFmtId="3" fontId="0" fillId="0" borderId="23" xfId="0" applyNumberFormat="1" applyFont="1" applyBorder="1" applyAlignment="1">
      <alignment/>
    </xf>
    <xf numFmtId="1" fontId="0" fillId="0" borderId="8" xfId="0" applyNumberFormat="1" applyFont="1" applyBorder="1" applyAlignment="1">
      <alignment horizontal="center"/>
    </xf>
    <xf numFmtId="1" fontId="0" fillId="0" borderId="20" xfId="0" applyNumberFormat="1" applyFont="1" applyBorder="1" applyAlignment="1">
      <alignment horizontal="center"/>
    </xf>
    <xf numFmtId="0" fontId="0" fillId="0" borderId="23" xfId="0" applyBorder="1" applyAlignment="1">
      <alignment horizontal="center"/>
    </xf>
    <xf numFmtId="3" fontId="0" fillId="0" borderId="30" xfId="0" applyNumberFormat="1" applyFont="1" applyBorder="1" applyAlignment="1">
      <alignment/>
    </xf>
    <xf numFmtId="3" fontId="0" fillId="0" borderId="30" xfId="0" applyNumberFormat="1" applyFont="1" applyBorder="1" applyAlignment="1">
      <alignment horizontal="center"/>
    </xf>
    <xf numFmtId="1" fontId="0" fillId="0" borderId="30" xfId="0" applyNumberFormat="1" applyFont="1" applyBorder="1" applyAlignment="1">
      <alignment horizontal="center"/>
    </xf>
    <xf numFmtId="3" fontId="0" fillId="0" borderId="30" xfId="0" applyNumberFormat="1" applyFont="1" applyBorder="1" applyAlignment="1">
      <alignment horizontal="right"/>
    </xf>
    <xf numFmtId="3" fontId="0" fillId="0" borderId="30" xfId="0" applyNumberFormat="1" applyFont="1" applyBorder="1" applyAlignment="1">
      <alignment horizontal="left"/>
    </xf>
    <xf numFmtId="0" fontId="0" fillId="0" borderId="30" xfId="0" applyFont="1" applyBorder="1" applyAlignment="1">
      <alignment/>
    </xf>
    <xf numFmtId="3" fontId="0" fillId="0" borderId="30" xfId="0" applyNumberFormat="1" applyFont="1" applyBorder="1" applyAlignment="1">
      <alignment/>
    </xf>
    <xf numFmtId="183" fontId="0" fillId="0" borderId="30" xfId="0" applyNumberFormat="1" applyFont="1" applyBorder="1" applyAlignment="1">
      <alignment/>
    </xf>
    <xf numFmtId="0" fontId="0" fillId="0" borderId="30" xfId="0" applyFont="1" applyBorder="1" applyAlignment="1">
      <alignment horizontal="center"/>
    </xf>
    <xf numFmtId="9" fontId="0" fillId="0" borderId="30" xfId="17" applyFont="1" applyBorder="1" applyAlignment="1">
      <alignment/>
    </xf>
    <xf numFmtId="3" fontId="0" fillId="0" borderId="30" xfId="0" applyNumberFormat="1" applyBorder="1" applyAlignment="1">
      <alignment horizontal="center"/>
    </xf>
    <xf numFmtId="3" fontId="0" fillId="0" borderId="30" xfId="0" applyNumberFormat="1" applyBorder="1" applyAlignment="1">
      <alignment horizontal="left"/>
    </xf>
    <xf numFmtId="3" fontId="0" fillId="0" borderId="30" xfId="0" applyNumberFormat="1" applyFont="1" applyBorder="1" applyAlignment="1">
      <alignment horizontal="right"/>
    </xf>
    <xf numFmtId="3" fontId="2" fillId="0" borderId="30" xfId="0" applyNumberFormat="1" applyFont="1" applyBorder="1" applyAlignment="1">
      <alignment/>
    </xf>
    <xf numFmtId="3" fontId="2" fillId="0" borderId="30" xfId="0" applyNumberFormat="1" applyFont="1" applyBorder="1" applyAlignment="1">
      <alignment horizontal="right"/>
    </xf>
    <xf numFmtId="3" fontId="2" fillId="0" borderId="30" xfId="0" applyNumberFormat="1" applyFont="1" applyBorder="1" applyAlignment="1">
      <alignment horizontal="center"/>
    </xf>
    <xf numFmtId="3" fontId="0" fillId="0" borderId="30" xfId="0" applyNumberFormat="1" applyFont="1" applyBorder="1" applyAlignment="1">
      <alignment/>
    </xf>
    <xf numFmtId="3" fontId="0" fillId="0" borderId="30" xfId="0" applyNumberFormat="1" applyFont="1" applyBorder="1" applyAlignment="1">
      <alignment horizontal="left"/>
    </xf>
    <xf numFmtId="3" fontId="0" fillId="0" borderId="30" xfId="0" applyNumberFormat="1" applyFont="1" applyBorder="1" applyAlignment="1">
      <alignment horizontal="center"/>
    </xf>
    <xf numFmtId="4" fontId="0" fillId="0" borderId="30" xfId="0" applyNumberFormat="1" applyFont="1" applyBorder="1" applyAlignment="1">
      <alignment/>
    </xf>
    <xf numFmtId="0" fontId="0" fillId="0" borderId="30" xfId="0" applyFont="1" applyBorder="1" applyAlignment="1">
      <alignment/>
    </xf>
    <xf numFmtId="0" fontId="0" fillId="0" borderId="30" xfId="0" applyFont="1" applyBorder="1" applyAlignment="1">
      <alignment horizontal="center"/>
    </xf>
    <xf numFmtId="3" fontId="0" fillId="0" borderId="24" xfId="0" applyNumberFormat="1" applyFont="1" applyBorder="1" applyAlignment="1">
      <alignment/>
    </xf>
    <xf numFmtId="0" fontId="0" fillId="0" borderId="30" xfId="0" applyNumberFormat="1" applyFont="1" applyBorder="1" applyAlignment="1">
      <alignment horizontal="center"/>
    </xf>
    <xf numFmtId="3" fontId="5" fillId="0" borderId="30" xfId="0" applyNumberFormat="1" applyFont="1" applyBorder="1" applyAlignment="1">
      <alignment horizontal="left"/>
    </xf>
    <xf numFmtId="3" fontId="5" fillId="0" borderId="30" xfId="0" applyNumberFormat="1" applyFont="1" applyBorder="1" applyAlignment="1">
      <alignment/>
    </xf>
    <xf numFmtId="3" fontId="1" fillId="0" borderId="30" xfId="0" applyNumberFormat="1" applyFont="1" applyBorder="1" applyAlignment="1">
      <alignment horizontal="center"/>
    </xf>
    <xf numFmtId="3" fontId="0" fillId="0" borderId="0" xfId="0" applyNumberFormat="1" applyFont="1" applyBorder="1" applyAlignment="1">
      <alignment horizontal="left"/>
    </xf>
    <xf numFmtId="3" fontId="0" fillId="0" borderId="30" xfId="0" applyNumberFormat="1" applyFont="1" applyBorder="1" applyAlignment="1">
      <alignment horizontal="left"/>
    </xf>
    <xf numFmtId="3" fontId="0" fillId="0" borderId="30" xfId="0" applyNumberFormat="1" applyFont="1" applyBorder="1" applyAlignment="1">
      <alignment horizontal="right"/>
    </xf>
    <xf numFmtId="3" fontId="5" fillId="0" borderId="0" xfId="0" applyNumberFormat="1" applyFont="1" applyBorder="1" applyAlignment="1">
      <alignment horizontal="left"/>
    </xf>
    <xf numFmtId="9" fontId="0" fillId="0" borderId="0" xfId="17" applyFont="1" applyBorder="1" applyAlignment="1">
      <alignment/>
    </xf>
    <xf numFmtId="3" fontId="5" fillId="0" borderId="0" xfId="0" applyNumberFormat="1" applyFont="1" applyBorder="1" applyAlignment="1">
      <alignment wrapText="1"/>
    </xf>
    <xf numFmtId="0" fontId="0" fillId="0" borderId="0" xfId="0" applyBorder="1" applyAlignment="1">
      <alignment wrapText="1"/>
    </xf>
    <xf numFmtId="3" fontId="14" fillId="0" borderId="0" xfId="0" applyNumberFormat="1" applyFont="1" applyBorder="1" applyAlignment="1">
      <alignment/>
    </xf>
    <xf numFmtId="3" fontId="0" fillId="0" borderId="0" xfId="0" applyNumberFormat="1" applyFont="1" applyBorder="1" applyAlignment="1">
      <alignment horizontal="left"/>
    </xf>
    <xf numFmtId="3" fontId="0" fillId="0" borderId="0" xfId="0" applyNumberFormat="1" applyFont="1" applyBorder="1" applyAlignment="1">
      <alignment horizontal="right"/>
    </xf>
    <xf numFmtId="3" fontId="0" fillId="0" borderId="0" xfId="0" applyNumberFormat="1" applyFont="1" applyBorder="1" applyAlignment="1">
      <alignment horizontal="right"/>
    </xf>
    <xf numFmtId="0" fontId="15" fillId="0" borderId="0" xfId="0" applyFont="1" applyBorder="1" applyAlignment="1">
      <alignment wrapText="1"/>
    </xf>
    <xf numFmtId="3" fontId="13" fillId="0" borderId="12" xfId="0" applyNumberFormat="1" applyFont="1" applyBorder="1" applyAlignment="1">
      <alignment/>
    </xf>
    <xf numFmtId="3" fontId="13" fillId="0" borderId="10" xfId="0" applyNumberFormat="1" applyFont="1" applyBorder="1" applyAlignment="1">
      <alignment/>
    </xf>
    <xf numFmtId="3" fontId="13" fillId="0" borderId="35" xfId="0" applyNumberFormat="1" applyFont="1" applyBorder="1" applyAlignment="1">
      <alignment/>
    </xf>
    <xf numFmtId="3" fontId="13" fillId="0" borderId="36" xfId="0" applyNumberFormat="1" applyFont="1" applyBorder="1" applyAlignment="1">
      <alignment/>
    </xf>
    <xf numFmtId="3" fontId="13" fillId="0" borderId="37" xfId="0" applyNumberFormat="1" applyFont="1" applyBorder="1" applyAlignment="1">
      <alignment/>
    </xf>
    <xf numFmtId="3" fontId="13" fillId="0" borderId="0" xfId="0" applyNumberFormat="1" applyFont="1" applyAlignment="1">
      <alignment/>
    </xf>
    <xf numFmtId="3" fontId="4" fillId="0" borderId="19" xfId="0" applyNumberFormat="1" applyFont="1" applyBorder="1" applyAlignment="1">
      <alignment/>
    </xf>
    <xf numFmtId="3" fontId="4" fillId="0" borderId="38" xfId="0" applyNumberFormat="1" applyFont="1" applyBorder="1" applyAlignment="1">
      <alignment/>
    </xf>
    <xf numFmtId="3" fontId="16" fillId="0" borderId="0" xfId="0" applyNumberFormat="1" applyFont="1" applyAlignment="1">
      <alignment/>
    </xf>
    <xf numFmtId="0" fontId="0" fillId="0" borderId="31" xfId="0" applyBorder="1" applyAlignment="1">
      <alignment wrapText="1"/>
    </xf>
    <xf numFmtId="3" fontId="2" fillId="0" borderId="21" xfId="0" applyNumberFormat="1" applyFont="1" applyBorder="1" applyAlignment="1">
      <alignment horizontal="center"/>
    </xf>
    <xf numFmtId="3" fontId="0" fillId="0" borderId="12" xfId="0" applyNumberFormat="1" applyFont="1" applyBorder="1" applyAlignment="1">
      <alignment horizontal="center"/>
    </xf>
    <xf numFmtId="3" fontId="0" fillId="0" borderId="13" xfId="0" applyNumberFormat="1" applyFont="1" applyBorder="1" applyAlignment="1">
      <alignment horizontal="center"/>
    </xf>
    <xf numFmtId="0" fontId="0" fillId="0" borderId="22" xfId="0" applyFont="1" applyBorder="1" applyAlignment="1">
      <alignment horizontal="center"/>
    </xf>
    <xf numFmtId="3" fontId="0" fillId="0" borderId="0" xfId="0" applyNumberFormat="1" applyFont="1" applyBorder="1" applyAlignment="1">
      <alignment horizontal="left"/>
    </xf>
    <xf numFmtId="3" fontId="2" fillId="0" borderId="19" xfId="0" applyNumberFormat="1" applyFont="1" applyBorder="1" applyAlignment="1">
      <alignment horizontal="center"/>
    </xf>
    <xf numFmtId="3" fontId="2" fillId="0" borderId="38"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Alignment="1">
      <alignment horizontal="center"/>
    </xf>
    <xf numFmtId="3" fontId="1" fillId="0" borderId="0" xfId="0" applyNumberFormat="1" applyFont="1" applyAlignment="1">
      <alignment horizontal="center"/>
    </xf>
    <xf numFmtId="3" fontId="2" fillId="0" borderId="0" xfId="0" applyNumberFormat="1" applyFont="1" applyBorder="1" applyAlignment="1">
      <alignment horizontal="left"/>
    </xf>
    <xf numFmtId="3" fontId="2" fillId="0" borderId="5" xfId="0" applyNumberFormat="1" applyFont="1" applyBorder="1" applyAlignment="1">
      <alignment horizontal="left"/>
    </xf>
    <xf numFmtId="3" fontId="0" fillId="0" borderId="0" xfId="0" applyNumberFormat="1" applyFont="1" applyAlignment="1">
      <alignment horizontal="left"/>
    </xf>
    <xf numFmtId="3" fontId="0" fillId="0" borderId="19" xfId="0" applyNumberFormat="1" applyFont="1" applyBorder="1" applyAlignment="1">
      <alignment horizontal="center"/>
    </xf>
    <xf numFmtId="3" fontId="0" fillId="0" borderId="38" xfId="0" applyNumberFormat="1" applyFont="1" applyBorder="1" applyAlignment="1">
      <alignment horizontal="center"/>
    </xf>
    <xf numFmtId="3" fontId="0" fillId="0" borderId="21" xfId="0" applyNumberFormat="1" applyFont="1" applyBorder="1" applyAlignment="1">
      <alignment horizontal="center"/>
    </xf>
    <xf numFmtId="3" fontId="12" fillId="0" borderId="0" xfId="0" applyNumberFormat="1" applyFont="1" applyAlignment="1">
      <alignment horizontal="center"/>
    </xf>
    <xf numFmtId="0" fontId="0" fillId="0" borderId="38" xfId="0" applyBorder="1" applyAlignment="1">
      <alignment horizontal="center"/>
    </xf>
    <xf numFmtId="3" fontId="0" fillId="0" borderId="12" xfId="0" applyNumberFormat="1" applyFont="1"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8" xfId="0" applyBorder="1" applyAlignment="1">
      <alignment/>
    </xf>
    <xf numFmtId="0" fontId="0" fillId="0" borderId="21" xfId="0" applyBorder="1" applyAlignment="1">
      <alignment/>
    </xf>
    <xf numFmtId="3" fontId="5" fillId="0" borderId="31" xfId="0" applyNumberFormat="1" applyFont="1" applyBorder="1" applyAlignment="1">
      <alignment wrapText="1"/>
    </xf>
    <xf numFmtId="0" fontId="0" fillId="0" borderId="15" xfId="0" applyFont="1" applyBorder="1" applyAlignment="1">
      <alignment horizontal="center"/>
    </xf>
    <xf numFmtId="3" fontId="0" fillId="0" borderId="0" xfId="0" applyNumberFormat="1" applyAlignment="1">
      <alignment horizontal="center"/>
    </xf>
    <xf numFmtId="3" fontId="0" fillId="0" borderId="19" xfId="0" applyNumberFormat="1"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0" xfId="0" applyNumberFormat="1" applyBorder="1" applyAlignment="1">
      <alignment horizontal="left"/>
    </xf>
    <xf numFmtId="3" fontId="0" fillId="0" borderId="14" xfId="0" applyNumberFormat="1" applyBorder="1" applyAlignment="1">
      <alignment horizontal="left"/>
    </xf>
    <xf numFmtId="3" fontId="0" fillId="0" borderId="0" xfId="0" applyNumberFormat="1" applyAlignment="1">
      <alignment horizontal="left"/>
    </xf>
    <xf numFmtId="3" fontId="0" fillId="0" borderId="0" xfId="0" applyNumberFormat="1" applyFont="1" applyBorder="1" applyAlignment="1">
      <alignment horizontal="center"/>
    </xf>
    <xf numFmtId="3" fontId="0" fillId="0" borderId="19" xfId="0" applyNumberFormat="1" applyFont="1" applyBorder="1" applyAlignment="1">
      <alignment horizontal="center"/>
    </xf>
    <xf numFmtId="3" fontId="0" fillId="0" borderId="21" xfId="0" applyNumberFormat="1" applyFont="1" applyBorder="1" applyAlignment="1">
      <alignment horizontal="center"/>
    </xf>
    <xf numFmtId="3" fontId="0" fillId="0" borderId="0" xfId="0" applyNumberFormat="1" applyFont="1" applyAlignment="1">
      <alignment horizontal="center"/>
    </xf>
    <xf numFmtId="3" fontId="0" fillId="0" borderId="0" xfId="0" applyNumberFormat="1" applyFont="1" applyAlignment="1">
      <alignment horizontal="left"/>
    </xf>
    <xf numFmtId="3" fontId="0" fillId="0" borderId="38" xfId="0" applyNumberFormat="1" applyFont="1" applyBorder="1" applyAlignment="1">
      <alignment horizontal="center"/>
    </xf>
    <xf numFmtId="3" fontId="1" fillId="0" borderId="0" xfId="0" applyNumberFormat="1" applyFont="1" applyAlignment="1">
      <alignment horizontal="center"/>
    </xf>
    <xf numFmtId="3" fontId="0" fillId="0" borderId="0" xfId="0" applyNumberFormat="1" applyBorder="1" applyAlignment="1">
      <alignment/>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5</xdr:row>
      <xdr:rowOff>0</xdr:rowOff>
    </xdr:from>
    <xdr:to>
      <xdr:col>9</xdr:col>
      <xdr:colOff>428625</xdr:colOff>
      <xdr:row>5</xdr:row>
      <xdr:rowOff>0</xdr:rowOff>
    </xdr:to>
    <xdr:sp>
      <xdr:nvSpPr>
        <xdr:cNvPr id="1" name="Line 1"/>
        <xdr:cNvSpPr>
          <a:spLocks/>
        </xdr:cNvSpPr>
      </xdr:nvSpPr>
      <xdr:spPr>
        <a:xfrm>
          <a:off x="5505450" y="790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8"/>
  <sheetViews>
    <sheetView workbookViewId="0" topLeftCell="A4">
      <selection activeCell="H12" sqref="H12"/>
    </sheetView>
  </sheetViews>
  <sheetFormatPr defaultColWidth="9.140625" defaultRowHeight="12.75"/>
  <cols>
    <col min="1" max="1" width="5.28125" style="0" customWidth="1"/>
    <col min="2" max="2" width="18.140625" style="23" customWidth="1"/>
    <col min="3" max="3" width="22.7109375" style="0" customWidth="1"/>
    <col min="4" max="4" width="17.8515625" style="22" customWidth="1"/>
    <col min="5" max="5" width="14.8515625" style="22" hidden="1" customWidth="1"/>
    <col min="6" max="6" width="13.7109375" style="22" hidden="1" customWidth="1"/>
    <col min="7" max="7" width="14.8515625" style="22" hidden="1" customWidth="1"/>
    <col min="8" max="8" width="12.140625" style="22" customWidth="1"/>
    <col min="9" max="9" width="14.8515625" style="22" hidden="1" customWidth="1"/>
    <col min="10" max="10" width="10.7109375" style="22" customWidth="1"/>
    <col min="11" max="11" width="14.421875" style="0" hidden="1" customWidth="1"/>
    <col min="12" max="12" width="16.00390625" style="0" hidden="1" customWidth="1"/>
    <col min="13" max="13" width="12.57421875" style="0" customWidth="1"/>
    <col min="14" max="14" width="10.7109375" style="0" customWidth="1"/>
    <col min="15" max="15" width="9.7109375" style="0" customWidth="1"/>
    <col min="16" max="16" width="10.421875" style="0" customWidth="1"/>
    <col min="17" max="18" width="10.140625" style="0" bestFit="1" customWidth="1"/>
  </cols>
  <sheetData>
    <row r="1" ht="12.75">
      <c r="N1" s="225" t="s">
        <v>520</v>
      </c>
    </row>
    <row r="2" spans="1:22" s="57" customFormat="1" ht="12">
      <c r="A2" s="53" t="s">
        <v>0</v>
      </c>
      <c r="B2" s="78"/>
      <c r="C2" s="53"/>
      <c r="D2" s="59"/>
      <c r="E2" s="59"/>
      <c r="F2" s="59"/>
      <c r="G2" s="59"/>
      <c r="H2" s="59"/>
      <c r="I2" s="59"/>
      <c r="J2" s="59"/>
      <c r="N2" s="59"/>
      <c r="P2" s="54"/>
      <c r="Q2" s="55"/>
      <c r="R2" s="54"/>
      <c r="S2" s="54"/>
      <c r="T2" s="54"/>
      <c r="U2" s="54"/>
      <c r="V2" s="54"/>
    </row>
    <row r="3" spans="1:22" s="57" customFormat="1" ht="12.75">
      <c r="A3" s="53"/>
      <c r="B3" s="78"/>
      <c r="C3" s="53"/>
      <c r="D3" s="59"/>
      <c r="E3" s="59"/>
      <c r="F3" s="59"/>
      <c r="G3" s="59"/>
      <c r="H3" s="59"/>
      <c r="I3" s="59"/>
      <c r="J3" s="59"/>
      <c r="N3" s="83" t="s">
        <v>164</v>
      </c>
      <c r="P3" s="54"/>
      <c r="Q3" s="55"/>
      <c r="R3" s="54"/>
      <c r="S3" s="54"/>
      <c r="T3" s="54"/>
      <c r="U3" s="54"/>
      <c r="V3" s="54"/>
    </row>
    <row r="4" spans="1:22" s="57" customFormat="1" ht="12.75">
      <c r="A4" s="54"/>
      <c r="B4" s="77"/>
      <c r="C4" s="53" t="s">
        <v>1</v>
      </c>
      <c r="D4" s="55"/>
      <c r="E4" s="55"/>
      <c r="F4" s="55"/>
      <c r="G4" s="55"/>
      <c r="H4" s="55"/>
      <c r="I4" s="55"/>
      <c r="J4" s="55"/>
      <c r="K4" s="55"/>
      <c r="L4" s="55"/>
      <c r="N4" s="83" t="s">
        <v>247</v>
      </c>
      <c r="P4" s="54"/>
      <c r="Q4" s="54"/>
      <c r="R4" s="54"/>
      <c r="S4" s="54"/>
      <c r="T4" s="54"/>
      <c r="U4" s="54"/>
      <c r="V4" s="54"/>
    </row>
    <row r="5" spans="1:22" s="62" customFormat="1" ht="12">
      <c r="A5" s="54"/>
      <c r="B5" s="54"/>
      <c r="C5" s="71"/>
      <c r="D5" s="71"/>
      <c r="E5" s="71"/>
      <c r="F5" s="71"/>
      <c r="G5" s="71"/>
      <c r="H5" s="71"/>
      <c r="I5" s="71"/>
      <c r="J5" s="71"/>
      <c r="K5" s="71"/>
      <c r="L5" s="71"/>
      <c r="M5" s="71"/>
      <c r="N5" s="71"/>
      <c r="O5" s="71"/>
      <c r="P5" s="53"/>
      <c r="Q5" s="53"/>
      <c r="R5" s="53"/>
      <c r="S5" s="53"/>
      <c r="T5" s="53"/>
      <c r="U5" s="53"/>
      <c r="V5" s="53"/>
    </row>
    <row r="6" spans="1:21" s="57" customFormat="1" ht="12">
      <c r="A6" s="54"/>
      <c r="B6" s="77"/>
      <c r="C6" s="54"/>
      <c r="D6" s="55"/>
      <c r="E6" s="55"/>
      <c r="F6" s="55"/>
      <c r="G6" s="55"/>
      <c r="H6" s="55"/>
      <c r="I6" s="55"/>
      <c r="J6" s="55"/>
      <c r="K6" s="54"/>
      <c r="L6" s="54"/>
      <c r="M6" s="54"/>
      <c r="N6" s="54"/>
      <c r="O6" s="54"/>
      <c r="P6" s="54"/>
      <c r="Q6" s="54"/>
      <c r="R6" s="54"/>
      <c r="S6" s="54"/>
      <c r="T6" s="54"/>
      <c r="U6" s="54"/>
    </row>
    <row r="7" spans="1:21" s="57" customFormat="1" ht="12">
      <c r="A7" s="54"/>
      <c r="B7" s="77"/>
      <c r="C7" s="54"/>
      <c r="D7" s="55"/>
      <c r="K7" s="54"/>
      <c r="L7" s="54"/>
      <c r="M7" s="54"/>
      <c r="N7" s="54"/>
      <c r="O7" s="54"/>
      <c r="P7" s="54"/>
      <c r="Q7" s="54"/>
      <c r="R7" s="54"/>
      <c r="S7" s="54"/>
      <c r="T7" s="54"/>
      <c r="U7" s="54"/>
    </row>
    <row r="8" spans="1:20" s="57" customFormat="1" ht="13.5" thickBot="1">
      <c r="A8" s="54"/>
      <c r="B8" s="77"/>
      <c r="C8" s="54"/>
      <c r="D8" s="59"/>
      <c r="K8" s="54"/>
      <c r="L8" s="54"/>
      <c r="M8" s="54"/>
      <c r="N8" s="26" t="s">
        <v>493</v>
      </c>
      <c r="O8" s="54"/>
      <c r="P8" s="54"/>
      <c r="R8" s="54"/>
      <c r="S8" s="54"/>
      <c r="T8" s="54"/>
    </row>
    <row r="9" spans="1:22" s="39" customFormat="1" ht="13.5" customHeight="1" thickBot="1">
      <c r="A9" s="32" t="s">
        <v>4</v>
      </c>
      <c r="B9" s="418" t="s">
        <v>5</v>
      </c>
      <c r="C9" s="419"/>
      <c r="D9" s="107" t="s">
        <v>8</v>
      </c>
      <c r="E9" s="107" t="s">
        <v>17</v>
      </c>
      <c r="F9" s="8" t="s">
        <v>167</v>
      </c>
      <c r="G9" s="70" t="s">
        <v>17</v>
      </c>
      <c r="H9" s="8" t="s">
        <v>167</v>
      </c>
      <c r="I9" s="109" t="s">
        <v>21</v>
      </c>
      <c r="J9" s="109" t="s">
        <v>21</v>
      </c>
      <c r="K9" s="107" t="s">
        <v>22</v>
      </c>
      <c r="L9" s="99"/>
      <c r="M9" s="107" t="s">
        <v>22</v>
      </c>
      <c r="N9" s="419" t="s">
        <v>24</v>
      </c>
      <c r="O9" s="419"/>
      <c r="P9" s="107" t="s">
        <v>22</v>
      </c>
      <c r="R9" s="75"/>
      <c r="S9" s="38"/>
      <c r="T9" s="38"/>
      <c r="U9" s="38"/>
      <c r="V9" s="38"/>
    </row>
    <row r="10" spans="1:22" s="39" customFormat="1" ht="12.75">
      <c r="A10" s="40"/>
      <c r="B10" s="34" t="s">
        <v>6</v>
      </c>
      <c r="C10" s="36" t="s">
        <v>7</v>
      </c>
      <c r="D10" s="108"/>
      <c r="E10" s="111"/>
      <c r="F10" s="13" t="s">
        <v>168</v>
      </c>
      <c r="G10" s="43" t="s">
        <v>251</v>
      </c>
      <c r="H10" s="43"/>
      <c r="I10" s="110" t="s">
        <v>20</v>
      </c>
      <c r="J10" s="110" t="s">
        <v>20</v>
      </c>
      <c r="K10" s="111" t="s">
        <v>23</v>
      </c>
      <c r="L10" s="36"/>
      <c r="M10" s="111" t="s">
        <v>23</v>
      </c>
      <c r="N10" s="33" t="s">
        <v>25</v>
      </c>
      <c r="O10" s="36" t="s">
        <v>26</v>
      </c>
      <c r="P10" s="111" t="s">
        <v>27</v>
      </c>
      <c r="R10" s="75"/>
      <c r="S10" s="38"/>
      <c r="T10" s="38"/>
      <c r="U10" s="38"/>
      <c r="V10" s="38"/>
    </row>
    <row r="11" spans="1:22" s="39" customFormat="1" ht="13.5" thickBot="1">
      <c r="A11" s="44"/>
      <c r="B11" s="45"/>
      <c r="C11" s="101"/>
      <c r="D11" s="102"/>
      <c r="E11" s="112"/>
      <c r="F11" s="128">
        <v>2005</v>
      </c>
      <c r="G11" s="127"/>
      <c r="H11" s="127"/>
      <c r="I11" s="102"/>
      <c r="J11" s="102"/>
      <c r="K11" s="112"/>
      <c r="L11" s="101"/>
      <c r="M11" s="112"/>
      <c r="N11" s="46"/>
      <c r="O11" s="101"/>
      <c r="P11" s="237"/>
      <c r="R11" s="38"/>
      <c r="S11" s="38"/>
      <c r="T11" s="38"/>
      <c r="U11" s="38"/>
      <c r="V11" s="38"/>
    </row>
    <row r="12" spans="1:22" s="157" customFormat="1" ht="12.75">
      <c r="A12" s="89">
        <v>4</v>
      </c>
      <c r="B12" s="89"/>
      <c r="C12" s="89" t="s">
        <v>519</v>
      </c>
      <c r="D12" s="89" t="s">
        <v>163</v>
      </c>
      <c r="E12" s="172">
        <v>20692000</v>
      </c>
      <c r="F12" s="172">
        <v>26925000</v>
      </c>
      <c r="G12" s="89">
        <v>26102000</v>
      </c>
      <c r="H12" s="172">
        <v>3109</v>
      </c>
      <c r="I12" s="81">
        <f>F12*15%</f>
        <v>4038750</v>
      </c>
      <c r="J12" s="262">
        <f>H12*15%</f>
        <v>466.34999999999997</v>
      </c>
      <c r="K12" s="26">
        <f>F12+I12</f>
        <v>30963750</v>
      </c>
      <c r="L12" s="263"/>
      <c r="M12" s="172">
        <f>H12+J12</f>
        <v>3575.35</v>
      </c>
      <c r="N12" s="263">
        <v>0.25</v>
      </c>
      <c r="O12" s="172">
        <f>M12*N12</f>
        <v>893.8375</v>
      </c>
      <c r="P12" s="172">
        <f>M12+O12</f>
        <v>4469.1875</v>
      </c>
      <c r="R12" s="89"/>
      <c r="S12" s="89"/>
      <c r="T12" s="89"/>
      <c r="U12" s="89"/>
      <c r="V12" s="89"/>
    </row>
    <row r="13" spans="2:15" s="57" customFormat="1" ht="12">
      <c r="B13" s="79"/>
      <c r="D13" s="59"/>
      <c r="J13" s="59"/>
      <c r="L13" s="59"/>
      <c r="M13" s="59"/>
      <c r="N13" s="59"/>
      <c r="O13" s="59"/>
    </row>
    <row r="14" spans="1:22" s="348" customFormat="1" ht="12">
      <c r="A14" s="258"/>
      <c r="B14" s="257"/>
      <c r="C14" s="258"/>
      <c r="D14" s="238"/>
      <c r="E14" s="140"/>
      <c r="F14" s="140"/>
      <c r="G14" s="140"/>
      <c r="H14" s="238"/>
      <c r="I14" s="238"/>
      <c r="J14" s="238"/>
      <c r="K14" s="238"/>
      <c r="L14" s="238"/>
      <c r="M14" s="238"/>
      <c r="N14" s="238"/>
      <c r="O14" s="238"/>
      <c r="P14" s="238"/>
      <c r="R14" s="258"/>
      <c r="S14" s="258"/>
      <c r="T14" s="258"/>
      <c r="U14" s="258"/>
      <c r="V14" s="258"/>
    </row>
    <row r="15" spans="1:22" s="349" customFormat="1" ht="12">
      <c r="A15" s="60"/>
      <c r="B15" s="80"/>
      <c r="C15" s="60"/>
      <c r="D15" s="61"/>
      <c r="E15" s="61"/>
      <c r="F15" s="61"/>
      <c r="G15" s="61"/>
      <c r="H15" s="61"/>
      <c r="L15" s="61"/>
      <c r="M15" s="61"/>
      <c r="N15" s="61"/>
      <c r="O15" s="61"/>
      <c r="P15" s="60"/>
      <c r="Q15" s="60"/>
      <c r="R15" s="60"/>
      <c r="S15" s="60"/>
      <c r="T15" s="60"/>
      <c r="U15" s="60"/>
      <c r="V15" s="60"/>
    </row>
    <row r="16" spans="1:22" s="349" customFormat="1" ht="12">
      <c r="A16" s="60"/>
      <c r="B16" s="80"/>
      <c r="C16" s="60"/>
      <c r="D16" s="61"/>
      <c r="E16" s="61"/>
      <c r="F16" s="61"/>
      <c r="G16" s="61"/>
      <c r="H16" s="61"/>
      <c r="I16" s="61"/>
      <c r="J16" s="61"/>
      <c r="K16" s="61"/>
      <c r="L16" s="61"/>
      <c r="M16" s="61"/>
      <c r="N16" s="61"/>
      <c r="O16" s="61"/>
      <c r="P16" s="60"/>
      <c r="Q16" s="60"/>
      <c r="R16" s="60"/>
      <c r="S16" s="60"/>
      <c r="T16" s="60"/>
      <c r="U16" s="60"/>
      <c r="V16" s="60"/>
    </row>
    <row r="17" spans="2:10" s="39" customFormat="1" ht="12">
      <c r="B17" s="332"/>
      <c r="D17" s="350"/>
      <c r="E17" s="350"/>
      <c r="F17" s="350"/>
      <c r="G17" s="350"/>
      <c r="H17" s="350"/>
      <c r="I17" s="350"/>
      <c r="J17" s="350"/>
    </row>
    <row r="18" spans="2:15" s="39" customFormat="1" ht="12">
      <c r="B18" s="332"/>
      <c r="D18" s="420"/>
      <c r="E18" s="420"/>
      <c r="F18" s="420"/>
      <c r="G18" s="420"/>
      <c r="H18" s="420"/>
      <c r="I18" s="420"/>
      <c r="J18" s="420"/>
      <c r="K18" s="420"/>
      <c r="L18" s="420"/>
      <c r="M18" s="420"/>
      <c r="N18" s="420"/>
      <c r="O18" s="420"/>
    </row>
    <row r="19" spans="2:15" s="39" customFormat="1" ht="12">
      <c r="B19" s="332"/>
      <c r="D19" s="420"/>
      <c r="E19" s="420"/>
      <c r="F19" s="420"/>
      <c r="G19" s="420"/>
      <c r="H19" s="420"/>
      <c r="I19" s="420"/>
      <c r="J19" s="420"/>
      <c r="K19" s="420"/>
      <c r="L19" s="420"/>
      <c r="M19" s="420"/>
      <c r="N19" s="420"/>
      <c r="O19" s="420"/>
    </row>
    <row r="20" spans="2:15" s="39" customFormat="1" ht="12">
      <c r="B20" s="332"/>
      <c r="D20" s="420"/>
      <c r="E20" s="420"/>
      <c r="F20" s="420"/>
      <c r="G20" s="420"/>
      <c r="H20" s="420"/>
      <c r="I20" s="420"/>
      <c r="J20" s="420"/>
      <c r="K20" s="420"/>
      <c r="L20" s="420"/>
      <c r="M20" s="420"/>
      <c r="N20" s="420"/>
      <c r="O20" s="420"/>
    </row>
    <row r="21" spans="2:15" s="39" customFormat="1" ht="12">
      <c r="B21" s="332"/>
      <c r="D21" s="420"/>
      <c r="E21" s="420"/>
      <c r="F21" s="420"/>
      <c r="G21" s="420"/>
      <c r="H21" s="420"/>
      <c r="I21" s="420"/>
      <c r="J21" s="420"/>
      <c r="K21" s="420"/>
      <c r="L21" s="420"/>
      <c r="M21" s="420"/>
      <c r="N21" s="420"/>
      <c r="O21" s="420"/>
    </row>
    <row r="22" spans="2:15" s="39" customFormat="1" ht="12">
      <c r="B22" s="332"/>
      <c r="D22" s="420"/>
      <c r="E22" s="420"/>
      <c r="F22" s="420"/>
      <c r="G22" s="420"/>
      <c r="H22" s="420"/>
      <c r="I22" s="420"/>
      <c r="J22" s="420"/>
      <c r="K22" s="420"/>
      <c r="L22" s="420"/>
      <c r="M22" s="420"/>
      <c r="N22" s="420"/>
      <c r="O22" s="420"/>
    </row>
    <row r="23" spans="2:15" s="39" customFormat="1" ht="12">
      <c r="B23" s="332"/>
      <c r="E23" s="325"/>
      <c r="G23" s="325"/>
      <c r="H23" s="325"/>
      <c r="I23" s="325"/>
      <c r="J23" s="325"/>
      <c r="K23" s="325"/>
      <c r="L23" s="325"/>
      <c r="M23" s="325"/>
      <c r="N23" s="75"/>
      <c r="O23" s="325"/>
    </row>
    <row r="24" spans="2:15" s="39" customFormat="1" ht="12">
      <c r="B24" s="332"/>
      <c r="D24" s="38"/>
      <c r="E24" s="38"/>
      <c r="F24" s="38"/>
      <c r="G24" s="38"/>
      <c r="H24" s="38"/>
      <c r="I24" s="38"/>
      <c r="J24" s="38"/>
      <c r="L24" s="75"/>
      <c r="M24" s="75"/>
      <c r="N24" s="38"/>
      <c r="O24" s="75"/>
    </row>
    <row r="25" spans="2:15" s="39" customFormat="1" ht="12">
      <c r="B25" s="332"/>
      <c r="D25" s="38"/>
      <c r="E25" s="38"/>
      <c r="F25" s="38"/>
      <c r="G25" s="38"/>
      <c r="H25" s="38"/>
      <c r="I25" s="38"/>
      <c r="J25" s="38"/>
      <c r="K25" s="75"/>
      <c r="L25" s="75"/>
      <c r="M25" s="75"/>
      <c r="N25" s="75"/>
      <c r="O25" s="75"/>
    </row>
    <row r="26" spans="2:15" s="39" customFormat="1" ht="12">
      <c r="B26" s="332"/>
      <c r="D26" s="420"/>
      <c r="E26" s="420"/>
      <c r="F26" s="420"/>
      <c r="G26" s="420"/>
      <c r="H26" s="420"/>
      <c r="I26" s="420"/>
      <c r="J26" s="420"/>
      <c r="K26" s="420"/>
      <c r="L26" s="420"/>
      <c r="M26" s="420"/>
      <c r="N26" s="420"/>
      <c r="O26" s="420"/>
    </row>
    <row r="27" spans="2:15" s="39" customFormat="1" ht="12">
      <c r="B27" s="332"/>
      <c r="D27" s="420"/>
      <c r="E27" s="420"/>
      <c r="F27" s="420"/>
      <c r="G27" s="420"/>
      <c r="H27" s="420"/>
      <c r="I27" s="420"/>
      <c r="J27" s="420"/>
      <c r="K27" s="420"/>
      <c r="L27" s="420"/>
      <c r="M27" s="420"/>
      <c r="N27" s="420"/>
      <c r="O27" s="420"/>
    </row>
    <row r="28" spans="2:10" s="57" customFormat="1" ht="12">
      <c r="B28" s="79"/>
      <c r="D28" s="59"/>
      <c r="E28" s="59"/>
      <c r="F28" s="59"/>
      <c r="G28" s="59"/>
      <c r="H28" s="59"/>
      <c r="I28" s="59"/>
      <c r="J28" s="59"/>
    </row>
  </sheetData>
  <mergeCells count="9">
    <mergeCell ref="D27:O27"/>
    <mergeCell ref="D19:O19"/>
    <mergeCell ref="D20:O20"/>
    <mergeCell ref="D21:O21"/>
    <mergeCell ref="D22:O22"/>
    <mergeCell ref="B9:C9"/>
    <mergeCell ref="N9:O9"/>
    <mergeCell ref="D18:O18"/>
    <mergeCell ref="D26:O26"/>
  </mergeCells>
  <printOptions/>
  <pageMargins left="0.7480314960629921" right="0.7480314960629921"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7"/>
  <dimension ref="A1:T64"/>
  <sheetViews>
    <sheetView workbookViewId="0" topLeftCell="A1">
      <selection activeCell="C4" sqref="C4"/>
    </sheetView>
  </sheetViews>
  <sheetFormatPr defaultColWidth="9.140625" defaultRowHeight="12.75"/>
  <cols>
    <col min="1" max="1" width="3.28125" style="0" customWidth="1"/>
    <col min="2" max="2" width="28.8515625" style="0" bestFit="1" customWidth="1"/>
    <col min="3" max="3" width="12.140625" style="0" bestFit="1" customWidth="1"/>
    <col min="4" max="4" width="19.8515625" style="0" bestFit="1" customWidth="1"/>
    <col min="5" max="5" width="8.7109375" style="0" bestFit="1" customWidth="1"/>
    <col min="7" max="7" width="12.421875" style="0" bestFit="1" customWidth="1"/>
    <col min="10" max="10" width="10.140625" style="0" bestFit="1" customWidth="1"/>
    <col min="12" max="12" width="10.140625" style="0" bestFit="1" customWidth="1"/>
    <col min="13" max="13" width="11.140625" style="0" bestFit="1" customWidth="1"/>
  </cols>
  <sheetData>
    <row r="1" spans="1:20" ht="12.75">
      <c r="A1" s="4" t="s">
        <v>0</v>
      </c>
      <c r="B1" s="4"/>
      <c r="C1" s="4"/>
      <c r="D1" s="3"/>
      <c r="E1" s="5"/>
      <c r="F1" s="5"/>
      <c r="G1" s="3"/>
      <c r="H1" s="3"/>
      <c r="I1" s="3"/>
      <c r="J1" s="3"/>
      <c r="K1" s="438" t="s">
        <v>2</v>
      </c>
      <c r="L1" s="438"/>
      <c r="M1" s="3"/>
      <c r="P1" s="3"/>
      <c r="Q1" s="3"/>
      <c r="R1" s="3"/>
      <c r="S1" s="3"/>
      <c r="T1" s="3"/>
    </row>
    <row r="2" spans="1:20" ht="12.75">
      <c r="A2" s="3" t="s">
        <v>134</v>
      </c>
      <c r="B2" s="3"/>
      <c r="C2" s="3"/>
      <c r="D2" s="3"/>
      <c r="E2" s="5"/>
      <c r="F2" s="5"/>
      <c r="G2" s="3"/>
      <c r="H2" s="3"/>
      <c r="I2" s="3"/>
      <c r="J2" s="3"/>
      <c r="K2" s="438" t="s">
        <v>3</v>
      </c>
      <c r="L2" s="438"/>
      <c r="M2" s="3"/>
      <c r="P2" s="3"/>
      <c r="Q2" s="3"/>
      <c r="R2" s="3"/>
      <c r="S2" s="3"/>
      <c r="T2" s="3"/>
    </row>
    <row r="3" spans="1:20" ht="12.75">
      <c r="A3" s="3"/>
      <c r="B3" s="3"/>
      <c r="C3" s="3"/>
      <c r="D3" s="3"/>
      <c r="E3" s="5"/>
      <c r="F3" s="5"/>
      <c r="G3" s="3"/>
      <c r="H3" s="3"/>
      <c r="I3" s="3"/>
      <c r="J3" s="3"/>
      <c r="K3" s="438" t="s">
        <v>129</v>
      </c>
      <c r="L3" s="438"/>
      <c r="M3" s="3"/>
      <c r="P3" s="3"/>
      <c r="Q3" s="3"/>
      <c r="R3" s="3"/>
      <c r="S3" s="3"/>
      <c r="T3" s="3"/>
    </row>
    <row r="4" spans="1:20" ht="12.75">
      <c r="A4" s="3"/>
      <c r="B4" s="3"/>
      <c r="C4" s="3"/>
      <c r="D4" s="3"/>
      <c r="E4" s="5"/>
      <c r="F4" s="5"/>
      <c r="G4" s="3"/>
      <c r="H4" s="3"/>
      <c r="I4" s="3"/>
      <c r="J4" s="3"/>
      <c r="K4" s="5"/>
      <c r="L4" s="5"/>
      <c r="M4" s="3"/>
      <c r="P4" s="3"/>
      <c r="Q4" s="3"/>
      <c r="R4" s="3"/>
      <c r="S4" s="3"/>
      <c r="T4" s="3"/>
    </row>
    <row r="5" spans="1:20" ht="12.75">
      <c r="A5" s="422" t="s">
        <v>1</v>
      </c>
      <c r="B5" s="422"/>
      <c r="C5" s="422"/>
      <c r="D5" s="422"/>
      <c r="E5" s="422"/>
      <c r="F5" s="422"/>
      <c r="G5" s="422"/>
      <c r="H5" s="422"/>
      <c r="I5" s="422"/>
      <c r="J5" s="422"/>
      <c r="K5" s="422"/>
      <c r="L5" s="422"/>
      <c r="M5" s="422"/>
      <c r="N5" s="3"/>
      <c r="O5" s="3"/>
      <c r="P5" s="3"/>
      <c r="Q5" s="3"/>
      <c r="R5" s="3"/>
      <c r="S5" s="3"/>
      <c r="T5" s="3"/>
    </row>
    <row r="6" spans="1:18" ht="13.5" thickBot="1">
      <c r="A6" s="3"/>
      <c r="B6" s="3"/>
      <c r="C6" s="3"/>
      <c r="D6" s="3"/>
      <c r="E6" s="5"/>
      <c r="F6" s="5"/>
      <c r="G6" s="3"/>
      <c r="H6" s="3"/>
      <c r="I6" s="3" t="s">
        <v>140</v>
      </c>
      <c r="J6" s="3"/>
      <c r="K6" s="3"/>
      <c r="L6" s="3"/>
      <c r="N6" s="3"/>
      <c r="O6" s="3"/>
      <c r="P6" s="3"/>
      <c r="Q6" s="3"/>
      <c r="R6" s="3"/>
    </row>
    <row r="7" spans="1:18" s="2" customFormat="1" ht="13.5" thickBot="1">
      <c r="A7" s="28" t="s">
        <v>141</v>
      </c>
      <c r="B7" s="439" t="s">
        <v>5</v>
      </c>
      <c r="C7" s="441"/>
      <c r="D7" s="8" t="s">
        <v>8</v>
      </c>
      <c r="E7" s="6" t="s">
        <v>11</v>
      </c>
      <c r="F7" s="6" t="s">
        <v>14</v>
      </c>
      <c r="G7" s="7" t="s">
        <v>17</v>
      </c>
      <c r="H7" s="7" t="s">
        <v>18</v>
      </c>
      <c r="I7" s="6" t="s">
        <v>21</v>
      </c>
      <c r="J7" s="24" t="s">
        <v>22</v>
      </c>
      <c r="K7" s="439" t="s">
        <v>24</v>
      </c>
      <c r="L7" s="441"/>
      <c r="M7" s="29" t="s">
        <v>22</v>
      </c>
      <c r="N7" s="14"/>
      <c r="O7" s="14"/>
      <c r="P7" s="14"/>
      <c r="Q7" s="14"/>
      <c r="R7" s="14"/>
    </row>
    <row r="8" spans="1:18" s="2" customFormat="1" ht="12.75">
      <c r="A8" s="9" t="s">
        <v>142</v>
      </c>
      <c r="B8" s="6" t="s">
        <v>6</v>
      </c>
      <c r="C8" s="6" t="s">
        <v>7</v>
      </c>
      <c r="D8" s="12"/>
      <c r="E8" s="10" t="s">
        <v>12</v>
      </c>
      <c r="F8" s="10" t="s">
        <v>15</v>
      </c>
      <c r="G8" s="11"/>
      <c r="H8" s="11" t="s">
        <v>19</v>
      </c>
      <c r="I8" s="10" t="s">
        <v>20</v>
      </c>
      <c r="J8" s="13" t="s">
        <v>23</v>
      </c>
      <c r="K8" s="7" t="s">
        <v>25</v>
      </c>
      <c r="L8" s="7" t="s">
        <v>26</v>
      </c>
      <c r="M8" s="30" t="s">
        <v>27</v>
      </c>
      <c r="N8" s="14"/>
      <c r="O8" s="14"/>
      <c r="P8" s="14"/>
      <c r="Q8" s="14"/>
      <c r="R8" s="14"/>
    </row>
    <row r="9" spans="1:18" s="2" customFormat="1" ht="13.5" thickBot="1">
      <c r="A9" s="15"/>
      <c r="B9" s="16"/>
      <c r="C9" s="16"/>
      <c r="D9" s="19"/>
      <c r="E9" s="18" t="s">
        <v>13</v>
      </c>
      <c r="F9" s="18" t="s">
        <v>16</v>
      </c>
      <c r="G9" s="16"/>
      <c r="H9" s="16"/>
      <c r="I9" s="51">
        <v>0.15</v>
      </c>
      <c r="J9" s="19"/>
      <c r="K9" s="16"/>
      <c r="L9" s="16"/>
      <c r="M9" s="31"/>
      <c r="N9" s="14"/>
      <c r="O9" s="14"/>
      <c r="P9" s="14"/>
      <c r="Q9" s="14"/>
      <c r="R9" s="14"/>
    </row>
    <row r="10" spans="1:18" ht="12.75">
      <c r="A10" s="3">
        <v>1</v>
      </c>
      <c r="B10" s="3" t="s">
        <v>146</v>
      </c>
      <c r="C10" s="3" t="s">
        <v>28</v>
      </c>
      <c r="D10" s="3" t="s">
        <v>97</v>
      </c>
      <c r="E10" s="5" t="s">
        <v>31</v>
      </c>
      <c r="F10" s="5">
        <v>30</v>
      </c>
      <c r="G10" s="3">
        <v>3905000</v>
      </c>
      <c r="H10" s="3">
        <f>G10*50%</f>
        <v>1952500</v>
      </c>
      <c r="I10" s="3">
        <f>(G10+H10)*15%</f>
        <v>878625</v>
      </c>
      <c r="J10" s="3">
        <f>SUM(G10:I10)</f>
        <v>6736125</v>
      </c>
      <c r="K10" s="20">
        <v>0.25</v>
      </c>
      <c r="L10" s="3">
        <f>J10*K10</f>
        <v>1684031.25</v>
      </c>
      <c r="M10" s="3">
        <f>SUM(J10,L10)</f>
        <v>8420156.25</v>
      </c>
      <c r="N10" s="3"/>
      <c r="O10" s="3"/>
      <c r="P10" s="3"/>
      <c r="Q10" s="3"/>
      <c r="R10" s="3"/>
    </row>
    <row r="11" spans="1:18" ht="12.75">
      <c r="A11" s="3">
        <v>2</v>
      </c>
      <c r="B11" s="3" t="s">
        <v>146</v>
      </c>
      <c r="C11" s="3" t="s">
        <v>32</v>
      </c>
      <c r="D11" s="3" t="s">
        <v>98</v>
      </c>
      <c r="E11" s="5" t="s">
        <v>31</v>
      </c>
      <c r="F11" s="5">
        <v>30</v>
      </c>
      <c r="G11" s="3">
        <v>3905000</v>
      </c>
      <c r="H11" s="3">
        <f>G11*40%</f>
        <v>1562000</v>
      </c>
      <c r="I11" s="3"/>
      <c r="J11" s="3">
        <f>SUM(G11:I11)</f>
        <v>5467000</v>
      </c>
      <c r="K11" s="20">
        <v>0.25</v>
      </c>
      <c r="L11" s="3">
        <f>J11*K11</f>
        <v>1366750</v>
      </c>
      <c r="M11" s="3">
        <f>SUM(J11,L11)</f>
        <v>6833750</v>
      </c>
      <c r="N11" s="3"/>
      <c r="O11" s="3"/>
      <c r="P11" s="3"/>
      <c r="Q11" s="3"/>
      <c r="R11" s="3"/>
    </row>
    <row r="12" spans="1:18" ht="12.75">
      <c r="A12" s="3"/>
      <c r="B12" s="3"/>
      <c r="C12" s="3"/>
      <c r="D12" s="3"/>
      <c r="E12" s="5"/>
      <c r="F12" s="5"/>
      <c r="G12" s="3"/>
      <c r="H12" s="3"/>
      <c r="I12" s="3"/>
      <c r="J12" s="3"/>
      <c r="K12" s="3"/>
      <c r="L12" s="3"/>
      <c r="M12" s="3"/>
      <c r="N12" s="3"/>
      <c r="O12" s="3"/>
      <c r="P12" s="3"/>
      <c r="Q12" s="3"/>
      <c r="R12" s="3"/>
    </row>
    <row r="13" spans="1:18" ht="12.75">
      <c r="A13" s="3"/>
      <c r="B13" s="445" t="s">
        <v>135</v>
      </c>
      <c r="C13" s="445"/>
      <c r="D13" s="445"/>
      <c r="E13" s="445"/>
      <c r="F13" s="5"/>
      <c r="G13" s="3"/>
      <c r="H13" s="3"/>
      <c r="I13" s="3"/>
      <c r="J13" s="3"/>
      <c r="K13" s="3"/>
      <c r="L13" s="3"/>
      <c r="M13" s="3"/>
      <c r="N13" s="3"/>
      <c r="O13" s="3"/>
      <c r="P13" s="3"/>
      <c r="Q13" s="3"/>
      <c r="R13" s="3"/>
    </row>
    <row r="14" spans="1:18" ht="12.75">
      <c r="A14" s="3"/>
      <c r="B14" s="3"/>
      <c r="C14" s="3"/>
      <c r="D14" s="3"/>
      <c r="E14" s="5"/>
      <c r="F14" s="5"/>
      <c r="G14" s="3"/>
      <c r="H14" s="3"/>
      <c r="I14" s="3"/>
      <c r="J14" s="3"/>
      <c r="K14" s="3"/>
      <c r="L14" s="3"/>
      <c r="M14" s="3"/>
      <c r="N14" s="3"/>
      <c r="O14" s="3"/>
      <c r="P14" s="3"/>
      <c r="Q14" s="3"/>
      <c r="R14" s="3"/>
    </row>
    <row r="15" spans="1:18" ht="12.75">
      <c r="A15" s="3">
        <v>3</v>
      </c>
      <c r="B15" s="3" t="s">
        <v>146</v>
      </c>
      <c r="C15" s="3" t="s">
        <v>33</v>
      </c>
      <c r="D15" s="3" t="s">
        <v>99</v>
      </c>
      <c r="E15" s="5" t="s">
        <v>31</v>
      </c>
      <c r="F15" s="5">
        <v>30</v>
      </c>
      <c r="G15" s="3">
        <v>3905000</v>
      </c>
      <c r="H15" s="3">
        <f>G15*28.5%</f>
        <v>1112925</v>
      </c>
      <c r="I15" s="3"/>
      <c r="J15" s="3">
        <f aca="true" t="shared" si="0" ref="J15:J20">SUM(G15:I15)</f>
        <v>5017925</v>
      </c>
      <c r="K15" s="20">
        <v>0.2</v>
      </c>
      <c r="L15" s="3">
        <f aca="true" t="shared" si="1" ref="L15:L33">J15*K15</f>
        <v>1003585</v>
      </c>
      <c r="M15" s="3">
        <f aca="true" t="shared" si="2" ref="M15:M33">SUM(J15,L15)</f>
        <v>6021510</v>
      </c>
      <c r="N15" s="3"/>
      <c r="O15" s="3"/>
      <c r="P15" s="3"/>
      <c r="Q15" s="3"/>
      <c r="R15" s="3"/>
    </row>
    <row r="16" spans="1:18" ht="12.75">
      <c r="A16" s="3">
        <v>4</v>
      </c>
      <c r="B16" s="3" t="s">
        <v>146</v>
      </c>
      <c r="C16" s="3"/>
      <c r="D16" s="3" t="s">
        <v>132</v>
      </c>
      <c r="E16" s="5" t="s">
        <v>31</v>
      </c>
      <c r="F16" s="5">
        <v>27</v>
      </c>
      <c r="G16" s="3">
        <v>3677200</v>
      </c>
      <c r="H16" s="3"/>
      <c r="I16" s="3"/>
      <c r="J16" s="3">
        <f t="shared" si="0"/>
        <v>3677200</v>
      </c>
      <c r="K16" s="20">
        <v>0.25</v>
      </c>
      <c r="L16" s="3">
        <f t="shared" si="1"/>
        <v>919300</v>
      </c>
      <c r="M16" s="3">
        <f t="shared" si="2"/>
        <v>4596500</v>
      </c>
      <c r="N16" s="3"/>
      <c r="O16" s="3"/>
      <c r="P16" s="3"/>
      <c r="Q16" s="3"/>
      <c r="R16" s="3"/>
    </row>
    <row r="17" spans="1:18" ht="12.75">
      <c r="A17" s="3">
        <v>5</v>
      </c>
      <c r="B17" s="3" t="s">
        <v>147</v>
      </c>
      <c r="C17" s="3"/>
      <c r="D17" s="3" t="s">
        <v>100</v>
      </c>
      <c r="E17" s="5" t="s">
        <v>47</v>
      </c>
      <c r="F17" s="5">
        <v>30</v>
      </c>
      <c r="G17" s="3">
        <v>3452000</v>
      </c>
      <c r="H17" s="3"/>
      <c r="I17" s="3"/>
      <c r="J17" s="3">
        <f t="shared" si="0"/>
        <v>3452000</v>
      </c>
      <c r="K17" s="20">
        <v>0.15</v>
      </c>
      <c r="L17" s="3">
        <f t="shared" si="1"/>
        <v>517800</v>
      </c>
      <c r="M17" s="3">
        <f t="shared" si="2"/>
        <v>3969800</v>
      </c>
      <c r="N17" s="3"/>
      <c r="O17" s="3"/>
      <c r="P17" s="3"/>
      <c r="Q17" s="3"/>
      <c r="R17" s="3"/>
    </row>
    <row r="18" spans="1:18" ht="12.75">
      <c r="A18" s="3">
        <v>6</v>
      </c>
      <c r="B18" s="3" t="s">
        <v>147</v>
      </c>
      <c r="C18" s="3"/>
      <c r="D18" s="3" t="s">
        <v>101</v>
      </c>
      <c r="E18" s="5" t="s">
        <v>47</v>
      </c>
      <c r="F18" s="5">
        <v>20</v>
      </c>
      <c r="G18" s="3">
        <v>2781000</v>
      </c>
      <c r="H18" s="3"/>
      <c r="I18" s="3"/>
      <c r="J18" s="3">
        <f t="shared" si="0"/>
        <v>2781000</v>
      </c>
      <c r="K18" s="20">
        <v>0.15</v>
      </c>
      <c r="L18" s="3">
        <f t="shared" si="1"/>
        <v>417150</v>
      </c>
      <c r="M18" s="3">
        <f t="shared" si="2"/>
        <v>3198150</v>
      </c>
      <c r="N18" s="3"/>
      <c r="O18" s="3"/>
      <c r="P18" s="3"/>
      <c r="Q18" s="3"/>
      <c r="R18" s="3"/>
    </row>
    <row r="19" spans="1:18" ht="12.75">
      <c r="A19" s="3">
        <v>7</v>
      </c>
      <c r="B19" s="3" t="s">
        <v>144</v>
      </c>
      <c r="C19" s="3"/>
      <c r="D19" s="3" t="s">
        <v>103</v>
      </c>
      <c r="E19" s="5" t="s">
        <v>31</v>
      </c>
      <c r="F19" s="5">
        <v>30</v>
      </c>
      <c r="G19" s="3">
        <v>2773000</v>
      </c>
      <c r="H19" s="3"/>
      <c r="I19" s="3">
        <f>(G19+H19)*15%</f>
        <v>415950</v>
      </c>
      <c r="J19" s="3">
        <f t="shared" si="0"/>
        <v>3188950</v>
      </c>
      <c r="K19" s="20">
        <v>0.2</v>
      </c>
      <c r="L19" s="3">
        <f t="shared" si="1"/>
        <v>637790</v>
      </c>
      <c r="M19" s="3">
        <f t="shared" si="2"/>
        <v>3826740</v>
      </c>
      <c r="N19" s="3"/>
      <c r="O19" s="3"/>
      <c r="P19" s="3"/>
      <c r="Q19" s="3"/>
      <c r="R19" s="3"/>
    </row>
    <row r="20" spans="1:18" ht="12.75">
      <c r="A20" s="3">
        <v>8</v>
      </c>
      <c r="B20" s="3" t="s">
        <v>144</v>
      </c>
      <c r="C20" s="3"/>
      <c r="D20" s="3" t="s">
        <v>104</v>
      </c>
      <c r="E20" s="5" t="s">
        <v>31</v>
      </c>
      <c r="F20" s="5">
        <v>30</v>
      </c>
      <c r="G20" s="3">
        <v>2773000</v>
      </c>
      <c r="H20" s="3"/>
      <c r="I20" s="3"/>
      <c r="J20" s="3">
        <f t="shared" si="0"/>
        <v>2773000</v>
      </c>
      <c r="K20" s="20">
        <v>0.2</v>
      </c>
      <c r="L20" s="3">
        <f t="shared" si="1"/>
        <v>554600</v>
      </c>
      <c r="M20" s="3">
        <f t="shared" si="2"/>
        <v>3327600</v>
      </c>
      <c r="N20" s="3"/>
      <c r="O20" s="3"/>
      <c r="P20" s="3"/>
      <c r="Q20" s="3"/>
      <c r="R20" s="3"/>
    </row>
    <row r="21" spans="1:18" ht="12.75">
      <c r="A21" s="3"/>
      <c r="B21" s="3"/>
      <c r="C21" s="3"/>
      <c r="D21" s="3"/>
      <c r="E21" s="5"/>
      <c r="F21" s="5"/>
      <c r="G21" s="3"/>
      <c r="H21" s="3"/>
      <c r="I21" s="3"/>
      <c r="J21" s="3"/>
      <c r="K21" s="3"/>
      <c r="L21" s="3"/>
      <c r="M21" s="3"/>
      <c r="N21" s="3"/>
      <c r="O21" s="3"/>
      <c r="P21" s="3"/>
      <c r="Q21" s="3"/>
      <c r="R21" s="3"/>
    </row>
    <row r="22" spans="1:18" ht="12.75">
      <c r="A22" s="3"/>
      <c r="B22" s="445" t="s">
        <v>105</v>
      </c>
      <c r="C22" s="445"/>
      <c r="D22" s="445"/>
      <c r="E22" s="445"/>
      <c r="F22" s="445"/>
      <c r="G22" s="3"/>
      <c r="H22" s="3"/>
      <c r="I22" s="3"/>
      <c r="J22" s="3"/>
      <c r="K22" s="3"/>
      <c r="L22" s="3"/>
      <c r="M22" s="3"/>
      <c r="N22" s="3"/>
      <c r="O22" s="3"/>
      <c r="P22" s="3"/>
      <c r="Q22" s="3"/>
      <c r="R22" s="3"/>
    </row>
    <row r="23" spans="1:18" ht="12.75">
      <c r="A23" s="3"/>
      <c r="B23" s="3"/>
      <c r="C23" s="3"/>
      <c r="D23" s="3"/>
      <c r="E23" s="5"/>
      <c r="F23" s="5"/>
      <c r="G23" s="3"/>
      <c r="H23" s="3"/>
      <c r="I23" s="3"/>
      <c r="J23" s="3"/>
      <c r="K23" s="3"/>
      <c r="L23" s="3"/>
      <c r="M23" s="3"/>
      <c r="N23" s="3"/>
      <c r="O23" s="3"/>
      <c r="P23" s="3"/>
      <c r="Q23" s="3"/>
      <c r="R23" s="3"/>
    </row>
    <row r="24" spans="1:18" ht="12.75">
      <c r="A24" s="3">
        <v>9</v>
      </c>
      <c r="B24" s="3" t="s">
        <v>146</v>
      </c>
      <c r="C24" s="3" t="s">
        <v>33</v>
      </c>
      <c r="D24" s="3" t="s">
        <v>106</v>
      </c>
      <c r="E24" s="5" t="s">
        <v>31</v>
      </c>
      <c r="F24" s="5">
        <v>23</v>
      </c>
      <c r="G24" s="3">
        <v>3373500</v>
      </c>
      <c r="H24" s="3">
        <f>G24*30%</f>
        <v>1012050</v>
      </c>
      <c r="I24" s="3"/>
      <c r="J24" s="3">
        <f aca="true" t="shared" si="3" ref="J24:J33">SUM(G24:I24)</f>
        <v>4385550</v>
      </c>
      <c r="K24" s="20">
        <v>0.15</v>
      </c>
      <c r="L24" s="3">
        <f t="shared" si="1"/>
        <v>657832.5</v>
      </c>
      <c r="M24" s="3">
        <f t="shared" si="2"/>
        <v>5043382.5</v>
      </c>
      <c r="N24" s="3"/>
      <c r="O24" s="3"/>
      <c r="P24" s="3"/>
      <c r="Q24" s="3"/>
      <c r="R24" s="3"/>
    </row>
    <row r="25" spans="1:18" ht="12.75">
      <c r="A25" s="3">
        <v>10</v>
      </c>
      <c r="B25" s="3" t="s">
        <v>147</v>
      </c>
      <c r="C25" s="3"/>
      <c r="D25" s="3" t="s">
        <v>107</v>
      </c>
      <c r="E25" s="5" t="s">
        <v>47</v>
      </c>
      <c r="F25" s="5">
        <v>30</v>
      </c>
      <c r="G25" s="3">
        <v>3452000</v>
      </c>
      <c r="H25" s="3"/>
      <c r="I25" s="3"/>
      <c r="J25" s="3">
        <f t="shared" si="3"/>
        <v>3452000</v>
      </c>
      <c r="K25" s="20">
        <v>0.25</v>
      </c>
      <c r="L25" s="3">
        <f t="shared" si="1"/>
        <v>863000</v>
      </c>
      <c r="M25" s="3">
        <f t="shared" si="2"/>
        <v>4315000</v>
      </c>
      <c r="N25" s="3"/>
      <c r="O25" s="3"/>
      <c r="P25" s="3"/>
      <c r="Q25" s="3"/>
      <c r="R25" s="3"/>
    </row>
    <row r="26" spans="1:18" ht="12.75">
      <c r="A26" s="3">
        <v>11</v>
      </c>
      <c r="B26" s="3" t="s">
        <v>148</v>
      </c>
      <c r="C26" s="3"/>
      <c r="D26" s="3" t="s">
        <v>108</v>
      </c>
      <c r="E26" s="5" t="s">
        <v>46</v>
      </c>
      <c r="F26" s="5">
        <v>30</v>
      </c>
      <c r="G26" s="3">
        <v>2999000</v>
      </c>
      <c r="H26" s="3"/>
      <c r="I26" s="3">
        <f>(G26+H26)*15%</f>
        <v>449850</v>
      </c>
      <c r="J26" s="3">
        <f t="shared" si="3"/>
        <v>3448850</v>
      </c>
      <c r="K26" s="20">
        <v>0.05</v>
      </c>
      <c r="L26" s="3">
        <f t="shared" si="1"/>
        <v>172442.5</v>
      </c>
      <c r="M26" s="3">
        <f t="shared" si="2"/>
        <v>3621292.5</v>
      </c>
      <c r="N26" s="3"/>
      <c r="O26" s="3"/>
      <c r="P26" s="3"/>
      <c r="Q26" s="3"/>
      <c r="R26" s="3"/>
    </row>
    <row r="27" spans="1:18" ht="12.75">
      <c r="A27" s="3"/>
      <c r="B27" s="3"/>
      <c r="C27" s="3"/>
      <c r="D27" s="3"/>
      <c r="E27" s="5"/>
      <c r="F27" s="5"/>
      <c r="G27" s="3"/>
      <c r="H27" s="3"/>
      <c r="I27" s="3"/>
      <c r="J27" s="3"/>
      <c r="K27" s="3"/>
      <c r="L27" s="3"/>
      <c r="M27" s="3"/>
      <c r="N27" s="3"/>
      <c r="O27" s="3"/>
      <c r="P27" s="3"/>
      <c r="Q27" s="3"/>
      <c r="R27" s="3"/>
    </row>
    <row r="28" spans="1:18" ht="12.75">
      <c r="A28" s="3"/>
      <c r="B28" s="438" t="s">
        <v>109</v>
      </c>
      <c r="C28" s="438"/>
      <c r="D28" s="438"/>
      <c r="E28" s="438"/>
      <c r="F28" s="438"/>
      <c r="G28" s="3"/>
      <c r="H28" s="3"/>
      <c r="I28" s="3"/>
      <c r="J28" s="3"/>
      <c r="K28" s="3"/>
      <c r="L28" s="3"/>
      <c r="M28" s="3"/>
      <c r="N28" s="3"/>
      <c r="O28" s="3"/>
      <c r="P28" s="3"/>
      <c r="Q28" s="3"/>
      <c r="R28" s="3"/>
    </row>
    <row r="29" spans="1:18" ht="12.75">
      <c r="A29" s="3"/>
      <c r="B29" s="3"/>
      <c r="C29" s="3"/>
      <c r="D29" s="3"/>
      <c r="E29" s="5"/>
      <c r="F29" s="5"/>
      <c r="G29" s="3"/>
      <c r="H29" s="3"/>
      <c r="I29" s="3"/>
      <c r="J29" s="3"/>
      <c r="K29" s="3"/>
      <c r="L29" s="3"/>
      <c r="M29" s="3"/>
      <c r="N29" s="3"/>
      <c r="O29" s="3"/>
      <c r="P29" s="3"/>
      <c r="Q29" s="3"/>
      <c r="R29" s="3"/>
    </row>
    <row r="30" spans="1:18" ht="12.75">
      <c r="A30" s="3">
        <v>12</v>
      </c>
      <c r="B30" s="3" t="s">
        <v>146</v>
      </c>
      <c r="C30" s="3" t="s">
        <v>33</v>
      </c>
      <c r="D30" s="3" t="s">
        <v>110</v>
      </c>
      <c r="E30" s="5" t="s">
        <v>31</v>
      </c>
      <c r="F30" s="5">
        <v>30</v>
      </c>
      <c r="G30" s="3">
        <v>3905000</v>
      </c>
      <c r="H30" s="3">
        <f>G30*30%</f>
        <v>1171500</v>
      </c>
      <c r="I30" s="3"/>
      <c r="J30" s="3">
        <f t="shared" si="3"/>
        <v>5076500</v>
      </c>
      <c r="K30" s="20">
        <v>0.25</v>
      </c>
      <c r="L30" s="3">
        <f t="shared" si="1"/>
        <v>1269125</v>
      </c>
      <c r="M30" s="3">
        <f t="shared" si="2"/>
        <v>6345625</v>
      </c>
      <c r="N30" s="3"/>
      <c r="O30" s="3"/>
      <c r="P30" s="3"/>
      <c r="Q30" s="3"/>
      <c r="R30" s="3"/>
    </row>
    <row r="31" spans="1:18" ht="12.75">
      <c r="A31" s="3">
        <v>13</v>
      </c>
      <c r="B31" s="3" t="s">
        <v>146</v>
      </c>
      <c r="C31" s="3"/>
      <c r="D31" s="3" t="s">
        <v>131</v>
      </c>
      <c r="E31" s="5" t="s">
        <v>31</v>
      </c>
      <c r="F31" s="5">
        <v>27</v>
      </c>
      <c r="G31" s="3">
        <v>3677200</v>
      </c>
      <c r="H31" s="3"/>
      <c r="I31" s="3"/>
      <c r="J31" s="3">
        <f t="shared" si="3"/>
        <v>3677200</v>
      </c>
      <c r="K31" s="20">
        <v>0.25</v>
      </c>
      <c r="L31" s="3">
        <f t="shared" si="1"/>
        <v>919300</v>
      </c>
      <c r="M31" s="3">
        <f t="shared" si="2"/>
        <v>4596500</v>
      </c>
      <c r="N31" s="3"/>
      <c r="O31" s="3"/>
      <c r="P31" s="3"/>
      <c r="Q31" s="3"/>
      <c r="R31" s="3"/>
    </row>
    <row r="32" spans="1:18" ht="12.75">
      <c r="A32" s="3">
        <v>14</v>
      </c>
      <c r="B32" s="3" t="s">
        <v>144</v>
      </c>
      <c r="C32" s="3"/>
      <c r="D32" s="3" t="s">
        <v>111</v>
      </c>
      <c r="E32" s="5" t="s">
        <v>31</v>
      </c>
      <c r="F32" s="5">
        <v>30</v>
      </c>
      <c r="G32" s="3">
        <v>2773000</v>
      </c>
      <c r="H32" s="3"/>
      <c r="I32" s="3"/>
      <c r="J32" s="3">
        <f t="shared" si="3"/>
        <v>2773000</v>
      </c>
      <c r="K32" s="20">
        <v>0.25</v>
      </c>
      <c r="L32" s="3">
        <f t="shared" si="1"/>
        <v>693250</v>
      </c>
      <c r="M32" s="3">
        <f t="shared" si="2"/>
        <v>3466250</v>
      </c>
      <c r="N32" s="3"/>
      <c r="O32" s="3"/>
      <c r="P32" s="3"/>
      <c r="Q32" s="3"/>
      <c r="R32" s="3"/>
    </row>
    <row r="33" spans="1:18" ht="12.75">
      <c r="A33" s="3">
        <v>15</v>
      </c>
      <c r="B33" s="3" t="s">
        <v>150</v>
      </c>
      <c r="C33" s="3"/>
      <c r="D33" s="3" t="s">
        <v>112</v>
      </c>
      <c r="E33" s="5" t="s">
        <v>47</v>
      </c>
      <c r="F33" s="5">
        <v>29</v>
      </c>
      <c r="G33" s="3">
        <v>2497500</v>
      </c>
      <c r="H33" s="3"/>
      <c r="I33" s="3"/>
      <c r="J33" s="3">
        <f t="shared" si="3"/>
        <v>2497500</v>
      </c>
      <c r="K33" s="20">
        <v>0.25</v>
      </c>
      <c r="L33" s="3">
        <f t="shared" si="1"/>
        <v>624375</v>
      </c>
      <c r="M33" s="3">
        <f t="shared" si="2"/>
        <v>3121875</v>
      </c>
      <c r="N33" s="3"/>
      <c r="O33" s="3"/>
      <c r="P33" s="3"/>
      <c r="Q33" s="3"/>
      <c r="R33" s="3"/>
    </row>
    <row r="34" spans="1:18" ht="12.75">
      <c r="A34" s="3"/>
      <c r="B34" s="3"/>
      <c r="C34" s="3"/>
      <c r="D34" s="3"/>
      <c r="E34" s="5"/>
      <c r="F34" s="5"/>
      <c r="G34" s="3"/>
      <c r="H34" s="3"/>
      <c r="I34" s="3"/>
      <c r="J34" s="3"/>
      <c r="K34" s="20"/>
      <c r="L34" s="3"/>
      <c r="M34" s="3"/>
      <c r="N34" s="3"/>
      <c r="O34" s="3"/>
      <c r="P34" s="3"/>
      <c r="Q34" s="3"/>
      <c r="R34" s="3"/>
    </row>
    <row r="35" spans="1:18" ht="12.75">
      <c r="A35" s="3"/>
      <c r="B35" s="445" t="s">
        <v>136</v>
      </c>
      <c r="C35" s="445"/>
      <c r="D35" s="445"/>
      <c r="E35" s="445"/>
      <c r="F35" s="5"/>
      <c r="G35" s="3"/>
      <c r="H35" s="3"/>
      <c r="I35" s="3"/>
      <c r="J35" s="3"/>
      <c r="K35" s="3"/>
      <c r="L35" s="3"/>
      <c r="M35" s="3"/>
      <c r="N35" s="3"/>
      <c r="O35" s="3"/>
      <c r="P35" s="3"/>
      <c r="Q35" s="3"/>
      <c r="R35" s="3"/>
    </row>
    <row r="37" spans="1:18" ht="12.75">
      <c r="A37" s="3">
        <v>16</v>
      </c>
      <c r="B37" s="3" t="s">
        <v>146</v>
      </c>
      <c r="C37" s="3" t="s">
        <v>33</v>
      </c>
      <c r="D37" s="3"/>
      <c r="E37" s="5" t="s">
        <v>47</v>
      </c>
      <c r="F37" s="5"/>
      <c r="G37" s="3">
        <v>3905000</v>
      </c>
      <c r="H37" s="3"/>
      <c r="I37" s="3"/>
      <c r="J37" s="3">
        <f aca="true" t="shared" si="4" ref="J37:J42">SUM(G37:I37)</f>
        <v>3905000</v>
      </c>
      <c r="K37" s="20"/>
      <c r="L37" s="3">
        <f aca="true" t="shared" si="5" ref="L37:L42">J37*K37</f>
        <v>0</v>
      </c>
      <c r="M37" s="3">
        <f aca="true" t="shared" si="6" ref="M37:M42">SUM(J37,L37)</f>
        <v>3905000</v>
      </c>
      <c r="N37" s="3"/>
      <c r="O37" s="3"/>
      <c r="P37" s="3"/>
      <c r="Q37" s="3"/>
      <c r="R37" s="3"/>
    </row>
    <row r="38" spans="1:18" ht="12.75">
      <c r="A38" s="3">
        <v>17</v>
      </c>
      <c r="B38" s="3" t="s">
        <v>147</v>
      </c>
      <c r="C38" s="3"/>
      <c r="D38" s="3" t="s">
        <v>114</v>
      </c>
      <c r="E38" s="5" t="s">
        <v>47</v>
      </c>
      <c r="F38" s="5">
        <v>30</v>
      </c>
      <c r="G38" s="3">
        <v>3452000</v>
      </c>
      <c r="H38" s="3"/>
      <c r="I38" s="3"/>
      <c r="J38" s="3">
        <f t="shared" si="4"/>
        <v>3452000</v>
      </c>
      <c r="K38" s="20">
        <v>0.1</v>
      </c>
      <c r="L38" s="3">
        <f t="shared" si="5"/>
        <v>345200</v>
      </c>
      <c r="M38" s="3">
        <f t="shared" si="6"/>
        <v>3797200</v>
      </c>
      <c r="N38" s="3"/>
      <c r="O38" s="3"/>
      <c r="P38" s="3"/>
      <c r="Q38" s="3"/>
      <c r="R38" s="3"/>
    </row>
    <row r="39" spans="1:18" ht="12.75">
      <c r="A39" s="3">
        <v>18</v>
      </c>
      <c r="B39" s="3" t="s">
        <v>149</v>
      </c>
      <c r="C39" s="3"/>
      <c r="D39" s="3" t="s">
        <v>115</v>
      </c>
      <c r="E39" s="5" t="s">
        <v>47</v>
      </c>
      <c r="F39" s="5">
        <v>30</v>
      </c>
      <c r="G39" s="3">
        <v>2547000</v>
      </c>
      <c r="H39" s="3"/>
      <c r="I39" s="3"/>
      <c r="J39" s="3">
        <f t="shared" si="4"/>
        <v>2547000</v>
      </c>
      <c r="K39" s="20">
        <v>0.25</v>
      </c>
      <c r="L39" s="3">
        <f t="shared" si="5"/>
        <v>636750</v>
      </c>
      <c r="M39" s="3">
        <f t="shared" si="6"/>
        <v>3183750</v>
      </c>
      <c r="N39" s="3"/>
      <c r="O39" s="3"/>
      <c r="P39" s="3"/>
      <c r="Q39" s="3"/>
      <c r="R39" s="3"/>
    </row>
    <row r="40" spans="1:18" ht="12.75">
      <c r="A40" s="3">
        <v>19</v>
      </c>
      <c r="B40" s="3" t="s">
        <v>149</v>
      </c>
      <c r="C40" s="3"/>
      <c r="D40" s="3" t="s">
        <v>117</v>
      </c>
      <c r="E40" s="5" t="s">
        <v>47</v>
      </c>
      <c r="F40" s="5">
        <v>30</v>
      </c>
      <c r="G40" s="3">
        <v>2547000</v>
      </c>
      <c r="H40" s="3"/>
      <c r="I40" s="3"/>
      <c r="J40" s="3">
        <f t="shared" si="4"/>
        <v>2547000</v>
      </c>
      <c r="K40" s="20">
        <v>0.25</v>
      </c>
      <c r="L40" s="3">
        <f t="shared" si="5"/>
        <v>636750</v>
      </c>
      <c r="M40" s="3">
        <f t="shared" si="6"/>
        <v>3183750</v>
      </c>
      <c r="N40" s="3"/>
      <c r="O40" s="3"/>
      <c r="P40" s="3"/>
      <c r="Q40" s="3"/>
      <c r="R40" s="3"/>
    </row>
    <row r="41" spans="1:18" ht="12.75">
      <c r="A41" s="3">
        <v>20</v>
      </c>
      <c r="B41" s="3" t="s">
        <v>149</v>
      </c>
      <c r="C41" s="3"/>
      <c r="D41" s="3" t="s">
        <v>113</v>
      </c>
      <c r="E41" s="5" t="s">
        <v>47</v>
      </c>
      <c r="F41" s="5">
        <v>30</v>
      </c>
      <c r="G41" s="3">
        <v>2547000</v>
      </c>
      <c r="H41" s="3"/>
      <c r="I41" s="3">
        <f>(G41+H41)*15%</f>
        <v>382050</v>
      </c>
      <c r="J41" s="3">
        <f>SUM(G41:I41)</f>
        <v>2929050</v>
      </c>
      <c r="K41" s="20">
        <v>0.25</v>
      </c>
      <c r="L41" s="3">
        <f>J41*K41</f>
        <v>732262.5</v>
      </c>
      <c r="M41" s="3">
        <f>SUM(J41,L41)</f>
        <v>3661312.5</v>
      </c>
      <c r="N41" s="3"/>
      <c r="O41" s="3"/>
      <c r="P41" s="3"/>
      <c r="Q41" s="3"/>
      <c r="R41" s="3"/>
    </row>
    <row r="42" spans="1:18" ht="12.75">
      <c r="A42" s="3">
        <v>21</v>
      </c>
      <c r="B42" s="3" t="s">
        <v>152</v>
      </c>
      <c r="C42" s="3"/>
      <c r="D42" s="3" t="s">
        <v>120</v>
      </c>
      <c r="E42" s="5" t="s">
        <v>46</v>
      </c>
      <c r="F42" s="5">
        <v>29</v>
      </c>
      <c r="G42" s="3">
        <v>2330800</v>
      </c>
      <c r="H42" s="3"/>
      <c r="I42" s="3"/>
      <c r="J42" s="3">
        <f t="shared" si="4"/>
        <v>2330800</v>
      </c>
      <c r="K42" s="20">
        <v>0.1</v>
      </c>
      <c r="L42" s="3">
        <f t="shared" si="5"/>
        <v>233080</v>
      </c>
      <c r="M42" s="3">
        <f t="shared" si="6"/>
        <v>2563880</v>
      </c>
      <c r="N42" s="3"/>
      <c r="O42" s="3"/>
      <c r="P42" s="3"/>
      <c r="Q42" s="3"/>
      <c r="R42" s="3"/>
    </row>
    <row r="43" spans="1:18" ht="12.75">
      <c r="A43" s="3"/>
      <c r="B43" s="3"/>
      <c r="C43" s="3"/>
      <c r="D43" s="3"/>
      <c r="E43" s="5"/>
      <c r="F43" s="5"/>
      <c r="G43" s="3"/>
      <c r="H43" s="3"/>
      <c r="I43" s="3"/>
      <c r="J43" s="3"/>
      <c r="K43" s="20"/>
      <c r="L43" s="3"/>
      <c r="M43" s="3"/>
      <c r="N43" s="3"/>
      <c r="O43" s="3"/>
      <c r="P43" s="3"/>
      <c r="Q43" s="3"/>
      <c r="R43" s="3"/>
    </row>
    <row r="44" spans="1:18" ht="12.75">
      <c r="A44" s="3"/>
      <c r="B44" s="445" t="s">
        <v>137</v>
      </c>
      <c r="C44" s="445"/>
      <c r="D44" s="445"/>
      <c r="E44" s="445"/>
      <c r="F44" s="5"/>
      <c r="G44" s="3"/>
      <c r="H44" s="3"/>
      <c r="I44" s="3"/>
      <c r="J44" s="3"/>
      <c r="K44" s="3"/>
      <c r="L44" s="3"/>
      <c r="M44" s="3"/>
      <c r="N44" s="3"/>
      <c r="O44" s="3"/>
      <c r="P44" s="3"/>
      <c r="Q44" s="3"/>
      <c r="R44" s="3"/>
    </row>
    <row r="45" spans="1:18" ht="12.75">
      <c r="A45" s="3"/>
      <c r="B45" s="3"/>
      <c r="C45" s="3"/>
      <c r="D45" s="3"/>
      <c r="E45" s="5"/>
      <c r="F45" s="5"/>
      <c r="G45" s="3"/>
      <c r="H45" s="3"/>
      <c r="I45" s="3"/>
      <c r="J45" s="3"/>
      <c r="K45" s="20"/>
      <c r="L45" s="3"/>
      <c r="M45" s="3"/>
      <c r="N45" s="3"/>
      <c r="O45" s="3"/>
      <c r="P45" s="3"/>
      <c r="Q45" s="3"/>
      <c r="R45" s="3"/>
    </row>
    <row r="46" spans="1:18" ht="12.75">
      <c r="A46" s="3">
        <v>22</v>
      </c>
      <c r="B46" s="3" t="s">
        <v>146</v>
      </c>
      <c r="C46" s="3"/>
      <c r="D46" s="3" t="s">
        <v>118</v>
      </c>
      <c r="E46" s="5" t="s">
        <v>31</v>
      </c>
      <c r="F46" s="5">
        <v>30</v>
      </c>
      <c r="G46" s="3">
        <v>3905000</v>
      </c>
      <c r="H46" s="3"/>
      <c r="I46" s="3"/>
      <c r="J46" s="3">
        <f>SUM(G46:I46)</f>
        <v>3905000</v>
      </c>
      <c r="K46" s="20">
        <v>0.25</v>
      </c>
      <c r="L46" s="3">
        <f>J46*K46</f>
        <v>976250</v>
      </c>
      <c r="M46" s="3">
        <f>SUM(J46,L46)</f>
        <v>4881250</v>
      </c>
      <c r="N46" s="3"/>
      <c r="O46" s="3"/>
      <c r="P46" s="3"/>
      <c r="Q46" s="3"/>
      <c r="R46" s="3"/>
    </row>
    <row r="47" spans="1:18" ht="12.75">
      <c r="A47" s="3">
        <v>23</v>
      </c>
      <c r="B47" s="3" t="s">
        <v>146</v>
      </c>
      <c r="C47" s="3"/>
      <c r="D47" s="3" t="s">
        <v>86</v>
      </c>
      <c r="E47" s="5" t="s">
        <v>31</v>
      </c>
      <c r="F47" s="5">
        <v>29</v>
      </c>
      <c r="G47" s="3">
        <v>3829100</v>
      </c>
      <c r="H47" s="3"/>
      <c r="I47" s="3"/>
      <c r="J47" s="3">
        <f>SUM(G47:I47)</f>
        <v>3829100</v>
      </c>
      <c r="K47" s="20">
        <v>0.2</v>
      </c>
      <c r="L47" s="3">
        <f>J47*K47</f>
        <v>765820</v>
      </c>
      <c r="M47" s="3">
        <f>SUM(J47,L47)</f>
        <v>4594920</v>
      </c>
      <c r="N47" s="3"/>
      <c r="P47" s="3"/>
      <c r="Q47" s="3"/>
      <c r="R47" s="3"/>
    </row>
    <row r="48" spans="1:18" ht="12.75">
      <c r="A48" s="3">
        <v>24</v>
      </c>
      <c r="B48" s="3" t="s">
        <v>151</v>
      </c>
      <c r="C48" s="3"/>
      <c r="D48" s="3" t="s">
        <v>102</v>
      </c>
      <c r="E48" s="5" t="s">
        <v>45</v>
      </c>
      <c r="F48" s="5"/>
      <c r="G48" s="3">
        <v>1646100</v>
      </c>
      <c r="H48" s="3"/>
      <c r="I48" s="3"/>
      <c r="J48" s="3">
        <f>SUM(G48:I48)</f>
        <v>1646100</v>
      </c>
      <c r="K48" s="20">
        <v>0.05</v>
      </c>
      <c r="L48" s="3">
        <f>J48*K48</f>
        <v>82305</v>
      </c>
      <c r="M48" s="3">
        <f>SUM(J48,L48)</f>
        <v>1728405</v>
      </c>
      <c r="N48" s="3"/>
      <c r="O48" s="3"/>
      <c r="P48" s="3"/>
      <c r="Q48" s="3"/>
      <c r="R48" s="3"/>
    </row>
    <row r="49" spans="1:18" ht="12.75">
      <c r="A49" s="3">
        <v>25</v>
      </c>
      <c r="B49" s="3" t="s">
        <v>144</v>
      </c>
      <c r="C49" s="3"/>
      <c r="D49" s="3" t="s">
        <v>116</v>
      </c>
      <c r="E49" s="5" t="s">
        <v>31</v>
      </c>
      <c r="F49" s="5">
        <v>30</v>
      </c>
      <c r="G49" s="3">
        <v>2773000</v>
      </c>
      <c r="H49" s="3"/>
      <c r="I49" s="3"/>
      <c r="J49" s="3">
        <f>SUM(G49:I49)</f>
        <v>2773000</v>
      </c>
      <c r="K49" s="20">
        <v>0.25</v>
      </c>
      <c r="L49" s="3">
        <f>J49*K49</f>
        <v>693250</v>
      </c>
      <c r="M49" s="3">
        <f>SUM(J49,L49)</f>
        <v>3466250</v>
      </c>
      <c r="N49" s="3"/>
      <c r="O49" s="3"/>
      <c r="P49" s="3"/>
      <c r="Q49" s="3"/>
      <c r="R49" s="3"/>
    </row>
    <row r="50" spans="1:18" ht="12.75">
      <c r="A50" s="3">
        <v>26</v>
      </c>
      <c r="B50" s="3" t="s">
        <v>149</v>
      </c>
      <c r="C50" s="3"/>
      <c r="D50" s="3" t="s">
        <v>119</v>
      </c>
      <c r="E50" s="5" t="s">
        <v>47</v>
      </c>
      <c r="F50" s="5">
        <v>30</v>
      </c>
      <c r="G50" s="3">
        <v>2547000</v>
      </c>
      <c r="H50" s="3"/>
      <c r="I50" s="3"/>
      <c r="J50" s="3">
        <f>SUM(G50:I50)</f>
        <v>2547000</v>
      </c>
      <c r="K50" s="20">
        <v>0.25</v>
      </c>
      <c r="L50" s="3">
        <f>J50*K50</f>
        <v>636750</v>
      </c>
      <c r="M50" s="3">
        <f>SUM(J50,L50)</f>
        <v>3183750</v>
      </c>
      <c r="N50" s="3"/>
      <c r="O50" s="3"/>
      <c r="P50" s="3"/>
      <c r="Q50" s="3"/>
      <c r="R50" s="3"/>
    </row>
    <row r="51" spans="1:20" s="1" customFormat="1" ht="12.75">
      <c r="A51" s="4"/>
      <c r="B51" s="48" t="s">
        <v>68</v>
      </c>
      <c r="C51" s="48"/>
      <c r="D51" s="48"/>
      <c r="E51" s="49"/>
      <c r="F51" s="49"/>
      <c r="G51" s="48">
        <f>SUM(G10:G50)</f>
        <v>81877400</v>
      </c>
      <c r="H51" s="48">
        <f>SUM(H10:H50)</f>
        <v>6810975</v>
      </c>
      <c r="I51" s="48">
        <f>SUM(I10:I50)</f>
        <v>2126475</v>
      </c>
      <c r="J51" s="48">
        <f>SUM(J10:J50)</f>
        <v>90814850</v>
      </c>
      <c r="K51" s="48"/>
      <c r="L51" s="48">
        <f>SUM(L10:L50)</f>
        <v>18038748.75</v>
      </c>
      <c r="M51" s="48">
        <f>SUM(M10:M50)</f>
        <v>108853598.75</v>
      </c>
      <c r="N51" s="4"/>
      <c r="O51" s="4"/>
      <c r="P51" s="4"/>
      <c r="Q51" s="4"/>
      <c r="R51" s="4"/>
      <c r="S51" s="4"/>
      <c r="T51" s="4"/>
    </row>
    <row r="52" spans="1:20" s="1" customFormat="1" ht="12.75">
      <c r="A52" s="4"/>
      <c r="B52" s="48"/>
      <c r="C52" s="48"/>
      <c r="D52" s="48"/>
      <c r="E52" s="49"/>
      <c r="F52" s="49"/>
      <c r="G52" s="48"/>
      <c r="H52" s="48"/>
      <c r="I52" s="48"/>
      <c r="J52" s="48"/>
      <c r="K52" s="48"/>
      <c r="L52" s="48"/>
      <c r="M52" s="48"/>
      <c r="N52" s="4"/>
      <c r="O52" s="4"/>
      <c r="P52" s="4"/>
      <c r="Q52" s="4"/>
      <c r="R52" s="4"/>
      <c r="S52" s="4"/>
      <c r="T52" s="4"/>
    </row>
    <row r="53" spans="1:20" ht="12.75">
      <c r="A53" s="3"/>
      <c r="B53" s="3"/>
      <c r="C53" s="3"/>
      <c r="D53" s="438" t="s">
        <v>0</v>
      </c>
      <c r="E53" s="438"/>
      <c r="F53" s="438"/>
      <c r="G53" s="3"/>
      <c r="H53" s="3"/>
      <c r="I53" s="3"/>
      <c r="J53" s="3"/>
      <c r="K53" s="3"/>
      <c r="L53" s="3"/>
      <c r="M53" s="4"/>
      <c r="N53" s="3"/>
      <c r="O53" s="3"/>
      <c r="P53" s="3"/>
      <c r="Q53" s="3"/>
      <c r="R53" s="3"/>
      <c r="S53" s="3"/>
      <c r="T53" s="3"/>
    </row>
    <row r="54" spans="1:20" ht="12.75">
      <c r="A54" s="3"/>
      <c r="B54" s="3"/>
      <c r="C54" s="438" t="s">
        <v>70</v>
      </c>
      <c r="D54" s="438"/>
      <c r="E54" s="438"/>
      <c r="F54" s="438"/>
      <c r="G54" s="438"/>
      <c r="H54" s="3"/>
      <c r="I54" s="3"/>
      <c r="J54" s="3"/>
      <c r="K54" s="3"/>
      <c r="L54" s="3"/>
      <c r="M54" s="3"/>
      <c r="N54" s="3"/>
      <c r="O54" s="3"/>
      <c r="P54" s="3"/>
      <c r="Q54" s="3"/>
      <c r="R54" s="3"/>
      <c r="S54" s="3"/>
      <c r="T54" s="3"/>
    </row>
    <row r="55" spans="1:20" ht="12.75">
      <c r="A55" s="3"/>
      <c r="B55" s="3"/>
      <c r="C55" s="3"/>
      <c r="D55" s="438" t="s">
        <v>71</v>
      </c>
      <c r="E55" s="438"/>
      <c r="F55" s="438"/>
      <c r="G55" s="3"/>
      <c r="H55" s="3"/>
      <c r="I55" s="3"/>
      <c r="J55" s="3"/>
      <c r="K55" s="3"/>
      <c r="L55" s="4"/>
      <c r="M55" s="3"/>
      <c r="N55" s="3"/>
      <c r="O55" s="3"/>
      <c r="P55" s="3"/>
      <c r="Q55" s="3"/>
      <c r="R55" s="3"/>
      <c r="S55" s="3"/>
      <c r="T55" s="3"/>
    </row>
    <row r="56" spans="1:20" ht="12.75">
      <c r="A56" s="3"/>
      <c r="B56" s="3"/>
      <c r="C56" s="3"/>
      <c r="D56" s="438" t="s">
        <v>67</v>
      </c>
      <c r="E56" s="438"/>
      <c r="F56" s="438"/>
      <c r="G56" s="3"/>
      <c r="H56" s="3"/>
      <c r="I56" s="3"/>
      <c r="J56" s="3"/>
      <c r="K56" s="3"/>
      <c r="L56" s="3"/>
      <c r="M56" s="3"/>
      <c r="N56" s="3"/>
      <c r="O56" s="3"/>
      <c r="P56" s="3"/>
      <c r="Q56" s="3"/>
      <c r="R56" s="3"/>
      <c r="S56" s="3"/>
      <c r="T56" s="3"/>
    </row>
    <row r="57" spans="1:20" ht="12.75">
      <c r="A57" s="3"/>
      <c r="B57" s="3"/>
      <c r="C57" s="438" t="s">
        <v>138</v>
      </c>
      <c r="D57" s="438"/>
      <c r="E57" s="438"/>
      <c r="F57" s="438"/>
      <c r="G57" s="438"/>
      <c r="H57" s="3"/>
      <c r="I57" s="3"/>
      <c r="J57" s="3"/>
      <c r="K57" s="3"/>
      <c r="L57" s="3"/>
      <c r="M57" s="3"/>
      <c r="N57" s="3"/>
      <c r="O57" s="3"/>
      <c r="P57" s="3"/>
      <c r="Q57" s="3"/>
      <c r="R57" s="3"/>
      <c r="S57" s="3"/>
      <c r="T57" s="3"/>
    </row>
    <row r="58" spans="1:20" ht="12.75">
      <c r="A58" s="3"/>
      <c r="B58" s="3"/>
      <c r="C58" s="3"/>
      <c r="D58" s="438" t="s">
        <v>139</v>
      </c>
      <c r="E58" s="438"/>
      <c r="F58" s="438"/>
      <c r="G58" s="3"/>
      <c r="H58" s="3"/>
      <c r="I58" s="3"/>
      <c r="J58" s="3"/>
      <c r="K58" s="3"/>
      <c r="L58" s="3"/>
      <c r="M58" s="3"/>
      <c r="N58" s="3"/>
      <c r="O58" s="3"/>
      <c r="P58" s="3"/>
      <c r="Q58" s="3"/>
      <c r="R58" s="3"/>
      <c r="S58" s="3"/>
      <c r="T58" s="3"/>
    </row>
    <row r="59" spans="1:20" ht="12.75">
      <c r="A59" s="3"/>
      <c r="B59" s="3"/>
      <c r="C59" s="438" t="s">
        <v>154</v>
      </c>
      <c r="D59" s="438"/>
      <c r="E59" s="438"/>
      <c r="F59" s="438"/>
      <c r="G59" s="438"/>
      <c r="H59" s="3"/>
      <c r="I59" s="3"/>
      <c r="J59" s="3"/>
      <c r="K59" s="3"/>
      <c r="L59" s="3"/>
      <c r="M59" s="3"/>
      <c r="N59" s="3"/>
      <c r="O59" s="3"/>
      <c r="P59" s="3"/>
      <c r="Q59" s="3"/>
      <c r="R59" s="3"/>
      <c r="S59" s="3"/>
      <c r="T59" s="3"/>
    </row>
    <row r="60" spans="1:20" ht="12.75">
      <c r="A60" s="3"/>
      <c r="B60" s="3"/>
      <c r="C60" s="3"/>
      <c r="D60" s="3" t="s">
        <v>153</v>
      </c>
      <c r="E60" s="5"/>
      <c r="F60" s="5"/>
      <c r="G60" s="3"/>
      <c r="H60" s="3"/>
      <c r="I60" s="3"/>
      <c r="J60" s="3"/>
      <c r="K60" s="3"/>
      <c r="L60" s="3"/>
      <c r="M60" s="3"/>
      <c r="N60" s="3"/>
      <c r="O60" s="3"/>
      <c r="P60" s="3"/>
      <c r="Q60" s="3"/>
      <c r="R60" s="3"/>
      <c r="S60" s="3"/>
      <c r="T60" s="3"/>
    </row>
    <row r="61" spans="1:20" ht="12.75">
      <c r="A61" s="3"/>
      <c r="B61" s="3"/>
      <c r="C61" s="3"/>
      <c r="D61" s="3"/>
      <c r="E61" s="5"/>
      <c r="F61" s="5"/>
      <c r="G61" s="3"/>
      <c r="H61" s="3"/>
      <c r="I61" s="3"/>
      <c r="J61" s="3"/>
      <c r="K61" s="3"/>
      <c r="L61" s="3"/>
      <c r="M61" s="3"/>
      <c r="N61" s="3"/>
      <c r="O61" s="3"/>
      <c r="P61" s="3"/>
      <c r="Q61" s="3"/>
      <c r="R61" s="3"/>
      <c r="S61" s="3"/>
      <c r="T61" s="3"/>
    </row>
    <row r="62" spans="1:20" ht="12.75">
      <c r="A62" s="3"/>
      <c r="B62" s="3"/>
      <c r="C62" s="438" t="s">
        <v>89</v>
      </c>
      <c r="D62" s="438"/>
      <c r="E62" s="438"/>
      <c r="F62" s="438"/>
      <c r="G62" s="438"/>
      <c r="H62" s="3"/>
      <c r="I62" s="3"/>
      <c r="J62" s="3"/>
      <c r="K62" s="3"/>
      <c r="L62" s="3"/>
      <c r="M62" s="3"/>
      <c r="N62" s="3"/>
      <c r="O62" s="3"/>
      <c r="P62" s="3"/>
      <c r="Q62" s="3"/>
      <c r="R62" s="3"/>
      <c r="S62" s="3"/>
      <c r="T62" s="3"/>
    </row>
    <row r="63" spans="1:20" ht="12.75">
      <c r="A63" s="3"/>
      <c r="B63" s="3"/>
      <c r="C63" s="438" t="s">
        <v>69</v>
      </c>
      <c r="D63" s="438"/>
      <c r="E63" s="438"/>
      <c r="F63" s="438"/>
      <c r="G63" s="438"/>
      <c r="H63" s="3"/>
      <c r="I63" s="3"/>
      <c r="J63" s="3"/>
      <c r="K63" s="3"/>
      <c r="L63" s="3"/>
      <c r="M63" s="3"/>
      <c r="N63" s="3"/>
      <c r="O63" s="3"/>
      <c r="P63" s="3"/>
      <c r="Q63" s="3"/>
      <c r="R63" s="3"/>
      <c r="S63" s="3"/>
      <c r="T63" s="3"/>
    </row>
    <row r="64" spans="1:20" ht="12.75">
      <c r="A64" s="3"/>
      <c r="B64" s="3"/>
      <c r="C64" s="3"/>
      <c r="D64" s="3"/>
      <c r="E64" s="5"/>
      <c r="F64" s="5"/>
      <c r="G64" s="3"/>
      <c r="H64" s="3"/>
      <c r="I64" s="3"/>
      <c r="J64" s="3"/>
      <c r="K64" s="3"/>
      <c r="L64" s="3"/>
      <c r="M64" s="3"/>
      <c r="N64" s="3"/>
      <c r="O64" s="3"/>
      <c r="P64" s="3"/>
      <c r="Q64" s="3"/>
      <c r="R64" s="3"/>
      <c r="S64" s="3"/>
      <c r="T64" s="3"/>
    </row>
  </sheetData>
  <mergeCells count="20">
    <mergeCell ref="K1:L1"/>
    <mergeCell ref="K2:L2"/>
    <mergeCell ref="K3:L3"/>
    <mergeCell ref="A5:M5"/>
    <mergeCell ref="B7:C7"/>
    <mergeCell ref="K7:L7"/>
    <mergeCell ref="B13:E13"/>
    <mergeCell ref="B22:F22"/>
    <mergeCell ref="B35:E35"/>
    <mergeCell ref="B44:E44"/>
    <mergeCell ref="D53:F53"/>
    <mergeCell ref="B28:F28"/>
    <mergeCell ref="C54:G54"/>
    <mergeCell ref="D55:F55"/>
    <mergeCell ref="D56:F56"/>
    <mergeCell ref="C57:G57"/>
    <mergeCell ref="C63:G63"/>
    <mergeCell ref="D58:F58"/>
    <mergeCell ref="C59:G59"/>
    <mergeCell ref="C62:G62"/>
  </mergeCells>
  <printOptions/>
  <pageMargins left="0.15748031496062992" right="0.15748031496062992" top="0.1968503937007874" bottom="0" header="0.5118110236220472" footer="0.5118110236220472"/>
  <pageSetup horizontalDpi="120" verticalDpi="120" orientation="landscape" paperSize="8" r:id="rId1"/>
</worksheet>
</file>

<file path=xl/worksheets/sheet11.xml><?xml version="1.0" encoding="utf-8"?>
<worksheet xmlns="http://schemas.openxmlformats.org/spreadsheetml/2006/main" xmlns:r="http://schemas.openxmlformats.org/officeDocument/2006/relationships">
  <dimension ref="A3:K55"/>
  <sheetViews>
    <sheetView workbookViewId="0" topLeftCell="A1">
      <selection activeCell="C28" sqref="C28"/>
    </sheetView>
  </sheetViews>
  <sheetFormatPr defaultColWidth="9.140625" defaultRowHeight="12.75"/>
  <cols>
    <col min="1" max="1" width="40.00390625" style="0" customWidth="1"/>
    <col min="2" max="2" width="16.7109375" style="0" customWidth="1"/>
    <col min="3" max="3" width="13.7109375" style="0" customWidth="1"/>
    <col min="4" max="4" width="9.00390625" style="0" bestFit="1" customWidth="1"/>
    <col min="5" max="5" width="12.28125" style="0" customWidth="1"/>
    <col min="6" max="6" width="13.7109375" style="0" customWidth="1"/>
    <col min="7" max="7" width="8.8515625" style="0" customWidth="1"/>
    <col min="8" max="8" width="14.140625" style="0" customWidth="1"/>
    <col min="9" max="9" width="15.8515625" style="0" customWidth="1"/>
  </cols>
  <sheetData>
    <row r="3" spans="5:7" ht="12.75">
      <c r="E3" s="224" t="s">
        <v>471</v>
      </c>
      <c r="F3" s="104"/>
      <c r="G3" s="104"/>
    </row>
    <row r="5" ht="12.75">
      <c r="A5" t="s">
        <v>469</v>
      </c>
    </row>
    <row r="6" ht="13.5" thickBot="1"/>
    <row r="7" spans="1:11" s="157" customFormat="1" ht="12.75" customHeight="1">
      <c r="A7" s="273" t="s">
        <v>470</v>
      </c>
      <c r="B7" s="290" t="s">
        <v>472</v>
      </c>
      <c r="C7" s="153" t="s">
        <v>167</v>
      </c>
      <c r="D7" s="149" t="s">
        <v>18</v>
      </c>
      <c r="E7" s="150" t="s">
        <v>21</v>
      </c>
      <c r="F7" s="240" t="s">
        <v>22</v>
      </c>
      <c r="G7" s="240" t="s">
        <v>459</v>
      </c>
      <c r="H7" s="243" t="s">
        <v>461</v>
      </c>
      <c r="I7" s="152" t="s">
        <v>22</v>
      </c>
      <c r="J7" s="89"/>
      <c r="K7" s="89"/>
    </row>
    <row r="8" spans="1:11" s="157" customFormat="1" ht="12.75">
      <c r="A8" s="274"/>
      <c r="B8" s="279" t="s">
        <v>473</v>
      </c>
      <c r="C8" s="162"/>
      <c r="D8" s="136" t="s">
        <v>19</v>
      </c>
      <c r="E8" s="242" t="s">
        <v>20</v>
      </c>
      <c r="F8" s="278" t="s">
        <v>23</v>
      </c>
      <c r="G8" s="278" t="s">
        <v>460</v>
      </c>
      <c r="H8" s="279" t="s">
        <v>462</v>
      </c>
      <c r="I8" s="165" t="s">
        <v>27</v>
      </c>
      <c r="J8" s="89"/>
      <c r="K8" s="89"/>
    </row>
    <row r="9" spans="1:11" s="157" customFormat="1" ht="13.5" thickBot="1">
      <c r="A9" s="275"/>
      <c r="B9" s="291"/>
      <c r="C9" s="168"/>
      <c r="D9" s="137"/>
      <c r="E9" s="248">
        <v>0.15</v>
      </c>
      <c r="F9" s="246"/>
      <c r="G9" s="246"/>
      <c r="H9" s="249" t="s">
        <v>463</v>
      </c>
      <c r="I9" s="171"/>
      <c r="J9" s="89"/>
      <c r="K9" s="89"/>
    </row>
    <row r="11" spans="1:10" ht="12.75">
      <c r="A11" s="280" t="s">
        <v>452</v>
      </c>
      <c r="B11" s="280">
        <v>3</v>
      </c>
      <c r="C11" s="281" t="e">
        <f>'cond oct'!#REF!</f>
        <v>#REF!</v>
      </c>
      <c r="D11" s="281" t="e">
        <f>'cond oct'!#REF!</f>
        <v>#REF!</v>
      </c>
      <c r="E11" s="281" t="e">
        <f>'cond oct'!#REF!</f>
        <v>#REF!</v>
      </c>
      <c r="F11" s="281" t="e">
        <f>'cond oct'!#REF!</f>
        <v>#REF!</v>
      </c>
      <c r="G11" s="281" t="e">
        <f>'cond oct'!#REF!</f>
        <v>#REF!</v>
      </c>
      <c r="H11" s="281" t="e">
        <f>'cond oct'!#REF!</f>
        <v>#REF!</v>
      </c>
      <c r="I11" s="281" t="e">
        <f>SUM(A11:H11)</f>
        <v>#REF!</v>
      </c>
      <c r="J11" s="3"/>
    </row>
    <row r="12" spans="1:9" ht="12.75">
      <c r="A12" s="280" t="s">
        <v>453</v>
      </c>
      <c r="B12" s="280">
        <v>1</v>
      </c>
      <c r="C12" s="281">
        <f>'cond oct'!H12</f>
        <v>3109</v>
      </c>
      <c r="D12" s="282">
        <v>0</v>
      </c>
      <c r="E12" s="283">
        <f>'cond oct'!J12</f>
        <v>466.34999999999997</v>
      </c>
      <c r="F12" s="281">
        <f>SUM(C12:E12)</f>
        <v>3575.35</v>
      </c>
      <c r="G12" s="281">
        <f>'cond oct'!O12</f>
        <v>893.8375</v>
      </c>
      <c r="H12" s="282">
        <v>0</v>
      </c>
      <c r="I12" s="281">
        <f>SUM(F12:H12)</f>
        <v>4469.1875</v>
      </c>
    </row>
    <row r="13" spans="1:9" ht="25.5">
      <c r="A13" s="284" t="s">
        <v>357</v>
      </c>
      <c r="B13" s="284"/>
      <c r="C13" s="282"/>
      <c r="D13" s="282"/>
      <c r="E13" s="282"/>
      <c r="F13" s="282"/>
      <c r="G13" s="282"/>
      <c r="H13" s="282"/>
      <c r="I13" s="282"/>
    </row>
    <row r="14" spans="1:9" ht="12.75">
      <c r="A14" s="285" t="s">
        <v>467</v>
      </c>
      <c r="B14" s="285">
        <v>17</v>
      </c>
      <c r="C14" s="281">
        <f>Bataga!AD45</f>
        <v>0</v>
      </c>
      <c r="D14" s="281" t="e">
        <f>Bataga!#REF!</f>
        <v>#REF!</v>
      </c>
      <c r="E14" s="281" t="e">
        <f>Bataga!#REF!</f>
        <v>#REF!</v>
      </c>
      <c r="F14" s="281" t="e">
        <f>SUM(C14:E14)</f>
        <v>#REF!</v>
      </c>
      <c r="G14" s="281" t="e">
        <f>Bataga!#REF!</f>
        <v>#REF!</v>
      </c>
      <c r="H14" s="282">
        <v>0</v>
      </c>
      <c r="I14" s="281" t="e">
        <f>SUM(F14:H14)</f>
        <v>#REF!</v>
      </c>
    </row>
    <row r="15" spans="1:9" ht="12.75">
      <c r="A15" s="286" t="s">
        <v>476</v>
      </c>
      <c r="B15" s="286">
        <v>10</v>
      </c>
      <c r="C15" s="281">
        <f>C14-C17</f>
        <v>-1284</v>
      </c>
      <c r="D15" s="281" t="e">
        <f aca="true" t="shared" si="0" ref="D15:I15">D14-D17</f>
        <v>#REF!</v>
      </c>
      <c r="E15" s="281" t="e">
        <f t="shared" si="0"/>
        <v>#REF!</v>
      </c>
      <c r="F15" s="281" t="e">
        <f t="shared" si="0"/>
        <v>#REF!</v>
      </c>
      <c r="G15" s="281" t="e">
        <f t="shared" si="0"/>
        <v>#REF!</v>
      </c>
      <c r="H15" s="281">
        <f t="shared" si="0"/>
        <v>0</v>
      </c>
      <c r="I15" s="281" t="e">
        <f t="shared" si="0"/>
        <v>#REF!</v>
      </c>
    </row>
    <row r="16" spans="1:9" ht="12.75">
      <c r="A16" s="286" t="s">
        <v>474</v>
      </c>
      <c r="B16" s="286">
        <v>5</v>
      </c>
      <c r="C16" s="281">
        <v>2994</v>
      </c>
      <c r="D16" s="281">
        <v>0</v>
      </c>
      <c r="E16" s="281">
        <v>0</v>
      </c>
      <c r="F16" s="281">
        <f>SUM(C16:E16)</f>
        <v>2994</v>
      </c>
      <c r="G16" s="281">
        <v>0</v>
      </c>
      <c r="H16" s="281">
        <v>0</v>
      </c>
      <c r="I16" s="281">
        <f>SUM(F16:H16)</f>
        <v>2994</v>
      </c>
    </row>
    <row r="17" spans="1:9" ht="12.75">
      <c r="A17" s="286" t="s">
        <v>477</v>
      </c>
      <c r="B17" s="286">
        <v>2</v>
      </c>
      <c r="C17" s="281">
        <v>1284</v>
      </c>
      <c r="D17" s="281">
        <v>0</v>
      </c>
      <c r="E17" s="281">
        <v>0</v>
      </c>
      <c r="F17" s="281">
        <f>SUM(C17:E17)</f>
        <v>1284</v>
      </c>
      <c r="G17" s="281">
        <v>187</v>
      </c>
      <c r="H17" s="282">
        <v>0</v>
      </c>
      <c r="I17" s="281">
        <f>SUM(F17:H17)</f>
        <v>1471</v>
      </c>
    </row>
    <row r="18" spans="1:9" ht="12.75">
      <c r="A18" s="286" t="s">
        <v>475</v>
      </c>
      <c r="B18" s="286">
        <v>0</v>
      </c>
      <c r="C18" s="281">
        <v>0</v>
      </c>
      <c r="D18" s="281">
        <v>0</v>
      </c>
      <c r="E18" s="281">
        <v>0</v>
      </c>
      <c r="F18" s="281">
        <v>0</v>
      </c>
      <c r="G18" s="281">
        <v>0</v>
      </c>
      <c r="H18" s="282">
        <v>0</v>
      </c>
      <c r="I18" s="281">
        <v>0</v>
      </c>
    </row>
    <row r="19" spans="1:9" ht="12.75">
      <c r="A19" s="276"/>
      <c r="B19" s="276"/>
      <c r="C19" s="3"/>
      <c r="D19" s="3"/>
      <c r="E19" s="3"/>
      <c r="F19" s="3"/>
      <c r="G19" s="3"/>
      <c r="I19" s="3"/>
    </row>
    <row r="20" spans="1:9" ht="12.75">
      <c r="A20" s="280" t="s">
        <v>454</v>
      </c>
      <c r="B20" s="280"/>
      <c r="C20" s="281"/>
      <c r="D20" s="282"/>
      <c r="E20" s="282"/>
      <c r="F20" s="281"/>
      <c r="G20" s="281"/>
      <c r="H20" s="281"/>
      <c r="I20" s="281"/>
    </row>
    <row r="21" spans="1:9" ht="12.75">
      <c r="A21" s="286" t="s">
        <v>467</v>
      </c>
      <c r="B21" s="286">
        <v>3</v>
      </c>
      <c r="C21" s="281">
        <v>3212</v>
      </c>
      <c r="D21" s="282">
        <v>0</v>
      </c>
      <c r="E21" s="282">
        <v>0</v>
      </c>
      <c r="F21" s="281">
        <v>3212</v>
      </c>
      <c r="G21" s="281">
        <v>701.35</v>
      </c>
      <c r="H21" s="281">
        <v>803</v>
      </c>
      <c r="I21" s="281">
        <v>4716.35</v>
      </c>
    </row>
    <row r="22" spans="1:9" ht="12.75">
      <c r="A22" s="286" t="s">
        <v>464</v>
      </c>
      <c r="B22" s="286">
        <v>3</v>
      </c>
      <c r="C22" s="281">
        <v>3212</v>
      </c>
      <c r="D22" s="282">
        <v>0</v>
      </c>
      <c r="E22" s="282">
        <v>0</v>
      </c>
      <c r="F22" s="281">
        <v>3212</v>
      </c>
      <c r="G22" s="281">
        <v>701.35</v>
      </c>
      <c r="H22" s="281">
        <v>803</v>
      </c>
      <c r="I22" s="281">
        <v>4716.35</v>
      </c>
    </row>
    <row r="23" spans="1:9" ht="12.75">
      <c r="A23" s="286" t="s">
        <v>465</v>
      </c>
      <c r="B23" s="286">
        <v>0</v>
      </c>
      <c r="C23" s="281">
        <v>0</v>
      </c>
      <c r="D23" s="282">
        <v>0</v>
      </c>
      <c r="E23" s="282">
        <v>0</v>
      </c>
      <c r="F23" s="281">
        <v>0</v>
      </c>
      <c r="G23" s="281">
        <v>0</v>
      </c>
      <c r="H23" s="281">
        <v>0</v>
      </c>
      <c r="I23" s="281">
        <v>0</v>
      </c>
    </row>
    <row r="24" spans="1:9" ht="12.75">
      <c r="A24" s="276"/>
      <c r="B24" s="276"/>
      <c r="C24" s="3"/>
      <c r="F24" s="3"/>
      <c r="G24" s="3"/>
      <c r="H24" s="3"/>
      <c r="I24" s="3"/>
    </row>
    <row r="25" spans="1:9" ht="25.5">
      <c r="A25" s="287" t="s">
        <v>455</v>
      </c>
      <c r="B25" s="287"/>
      <c r="C25" s="282"/>
      <c r="D25" s="282"/>
      <c r="E25" s="282"/>
      <c r="F25" s="282"/>
      <c r="G25" s="282"/>
      <c r="H25" s="282"/>
      <c r="I25" s="282"/>
    </row>
    <row r="26" spans="1:9" ht="12.75">
      <c r="A26" s="288" t="s">
        <v>467</v>
      </c>
      <c r="B26" s="288">
        <v>9</v>
      </c>
      <c r="C26" s="281">
        <f>consilieri!P27</f>
        <v>8266</v>
      </c>
      <c r="D26" s="283">
        <f>consilieri!R27</f>
        <v>439.5</v>
      </c>
      <c r="E26" s="283">
        <f>consilieri!T27</f>
        <v>285.675</v>
      </c>
      <c r="F26" s="281">
        <f>SUM(C26:E26)</f>
        <v>8991.175</v>
      </c>
      <c r="G26" s="281">
        <f>consilieri!Z27</f>
        <v>1424.24375</v>
      </c>
      <c r="H26" s="282">
        <v>0</v>
      </c>
      <c r="I26" s="281">
        <f>SUM(F26:H26)</f>
        <v>10415.418749999999</v>
      </c>
    </row>
    <row r="27" spans="1:9" ht="12.75">
      <c r="A27" s="286" t="s">
        <v>464</v>
      </c>
      <c r="B27" s="286">
        <v>6</v>
      </c>
      <c r="C27" s="281">
        <v>7829</v>
      </c>
      <c r="D27" s="283">
        <v>394.8</v>
      </c>
      <c r="E27" s="283">
        <v>256.62</v>
      </c>
      <c r="F27" s="281">
        <f>SUM(C27:E27)</f>
        <v>8480.42</v>
      </c>
      <c r="G27" s="281">
        <v>1398.955</v>
      </c>
      <c r="H27" s="282">
        <v>0</v>
      </c>
      <c r="I27" s="281">
        <f>SUM(F27:H27)</f>
        <v>9879.375</v>
      </c>
    </row>
    <row r="28" spans="1:9" ht="12.75">
      <c r="A28" s="286" t="s">
        <v>478</v>
      </c>
      <c r="B28" s="286">
        <v>3</v>
      </c>
      <c r="C28" s="281"/>
      <c r="D28" s="283"/>
      <c r="E28" s="283"/>
      <c r="F28" s="281"/>
      <c r="G28" s="281"/>
      <c r="H28" s="282"/>
      <c r="I28" s="281"/>
    </row>
    <row r="29" spans="1:9" ht="12.75">
      <c r="A29" s="286" t="s">
        <v>465</v>
      </c>
      <c r="B29" s="286">
        <v>0</v>
      </c>
      <c r="C29" s="281">
        <v>0</v>
      </c>
      <c r="D29" s="283">
        <v>0</v>
      </c>
      <c r="E29" s="283">
        <v>0</v>
      </c>
      <c r="F29" s="281">
        <v>0</v>
      </c>
      <c r="G29" s="281">
        <v>0</v>
      </c>
      <c r="H29" s="282">
        <v>0</v>
      </c>
      <c r="I29" s="281">
        <v>0</v>
      </c>
    </row>
    <row r="30" spans="1:9" ht="12.75">
      <c r="A30" s="276"/>
      <c r="B30" s="276"/>
      <c r="C30" s="3"/>
      <c r="D30" s="277"/>
      <c r="E30" s="277"/>
      <c r="F30" s="3"/>
      <c r="G30" s="3"/>
      <c r="I30" s="3"/>
    </row>
    <row r="31" spans="1:9" ht="25.5">
      <c r="A31" s="287" t="s">
        <v>456</v>
      </c>
      <c r="B31" s="287"/>
      <c r="C31" s="282"/>
      <c r="D31" s="282"/>
      <c r="E31" s="282"/>
      <c r="F31" s="282"/>
      <c r="G31" s="282"/>
      <c r="H31" s="282"/>
      <c r="I31" s="282"/>
    </row>
    <row r="32" spans="1:9" ht="12.75">
      <c r="A32" s="288" t="s">
        <v>467</v>
      </c>
      <c r="B32" s="288">
        <v>25</v>
      </c>
      <c r="C32" s="281">
        <f>'Direcţia I'!AA45</f>
        <v>23638</v>
      </c>
      <c r="D32" s="281">
        <f>'Direcţia I'!AB45</f>
        <v>1611.5</v>
      </c>
      <c r="E32" s="281">
        <f>'Direcţia I'!AC45</f>
        <v>1099.05</v>
      </c>
      <c r="F32" s="281">
        <f>SUM(C32:E32)</f>
        <v>26348.55</v>
      </c>
      <c r="G32" s="281">
        <f>'Direcţia I'!AF45</f>
        <v>4378.48625</v>
      </c>
      <c r="H32" s="281">
        <f>'Direcţia I'!AH45</f>
        <v>53.2</v>
      </c>
      <c r="I32" s="281">
        <f>SUM(F32:H32)</f>
        <v>30780.236249999998</v>
      </c>
    </row>
    <row r="33" spans="1:9" ht="12.75">
      <c r="A33" s="286" t="s">
        <v>464</v>
      </c>
      <c r="B33" s="286">
        <v>25</v>
      </c>
      <c r="C33" s="281">
        <v>20943</v>
      </c>
      <c r="D33" s="281">
        <v>1447.6</v>
      </c>
      <c r="E33" s="281">
        <v>1085.82</v>
      </c>
      <c r="F33" s="281">
        <v>23476.42</v>
      </c>
      <c r="G33" s="281">
        <v>3557.68</v>
      </c>
      <c r="H33" s="281">
        <v>71.55</v>
      </c>
      <c r="I33" s="281">
        <f>SUM(F33:H33)</f>
        <v>27105.649999999998</v>
      </c>
    </row>
    <row r="34" spans="1:9" ht="12.75">
      <c r="A34" s="286" t="s">
        <v>465</v>
      </c>
      <c r="B34" s="286">
        <v>0</v>
      </c>
      <c r="C34" s="281">
        <v>0</v>
      </c>
      <c r="D34" s="281">
        <v>0</v>
      </c>
      <c r="E34" s="281">
        <v>0</v>
      </c>
      <c r="F34" s="281">
        <v>0</v>
      </c>
      <c r="G34" s="281">
        <v>0</v>
      </c>
      <c r="H34" s="281">
        <v>0</v>
      </c>
      <c r="I34" s="281">
        <v>0</v>
      </c>
    </row>
    <row r="35" spans="1:9" ht="12.75">
      <c r="A35" s="276"/>
      <c r="B35" s="276"/>
      <c r="C35" s="3"/>
      <c r="D35" s="3"/>
      <c r="E35" s="3"/>
      <c r="F35" s="3"/>
      <c r="G35" s="3"/>
      <c r="H35" s="3"/>
      <c r="I35" s="3"/>
    </row>
    <row r="36" spans="1:9" ht="12.75">
      <c r="A36" s="276"/>
      <c r="B36" s="276"/>
      <c r="C36" s="3"/>
      <c r="D36" s="3"/>
      <c r="E36" s="3"/>
      <c r="F36" s="3"/>
      <c r="G36" s="3"/>
      <c r="H36" s="3"/>
      <c r="I36" s="3"/>
    </row>
    <row r="37" spans="1:9" ht="12.75">
      <c r="A37" s="280" t="s">
        <v>457</v>
      </c>
      <c r="B37" s="280"/>
      <c r="C37" s="282"/>
      <c r="D37" s="282"/>
      <c r="E37" s="282"/>
      <c r="F37" s="282"/>
      <c r="G37" s="282"/>
      <c r="H37" s="282"/>
      <c r="I37" s="282"/>
    </row>
    <row r="38" spans="1:9" ht="12.75">
      <c r="A38" s="286" t="s">
        <v>467</v>
      </c>
      <c r="B38" s="286">
        <v>54</v>
      </c>
      <c r="C38" s="281">
        <f>'Direcţia II'!AA100</f>
        <v>44005</v>
      </c>
      <c r="D38" s="281">
        <f>'Direcţia II'!AB100</f>
        <v>1153.75</v>
      </c>
      <c r="E38" s="281">
        <f>'Direcţia II'!AC100</f>
        <v>1126.35</v>
      </c>
      <c r="F38" s="281">
        <f>SUM(C38:E38)</f>
        <v>46285.1</v>
      </c>
      <c r="G38" s="281">
        <f>'Direcţia II'!AF100</f>
        <v>8422.37</v>
      </c>
      <c r="H38" s="281">
        <f>'Direcţia II'!AH100</f>
        <v>632.185</v>
      </c>
      <c r="I38" s="281">
        <f>SUM(F38:H38)</f>
        <v>55339.655</v>
      </c>
    </row>
    <row r="39" spans="1:9" ht="12.75">
      <c r="A39" s="286" t="s">
        <v>464</v>
      </c>
      <c r="B39" s="286">
        <v>27</v>
      </c>
      <c r="C39" s="281">
        <f>C38-C40</f>
        <v>31845</v>
      </c>
      <c r="D39" s="281">
        <f aca="true" t="shared" si="1" ref="D39:I39">D38-D40</f>
        <v>960.75</v>
      </c>
      <c r="E39" s="281">
        <f t="shared" si="1"/>
        <v>981.3499999999999</v>
      </c>
      <c r="F39" s="281">
        <f t="shared" si="1"/>
        <v>33787.1</v>
      </c>
      <c r="G39" s="281">
        <f t="shared" si="1"/>
        <v>5519.370000000001</v>
      </c>
      <c r="H39" s="281">
        <f t="shared" si="1"/>
        <v>510.18499999999995</v>
      </c>
      <c r="I39" s="281">
        <f t="shared" si="1"/>
        <v>39816.655</v>
      </c>
    </row>
    <row r="40" spans="1:9" ht="12.75">
      <c r="A40" s="286" t="s">
        <v>465</v>
      </c>
      <c r="B40" s="286">
        <v>27</v>
      </c>
      <c r="C40" s="281">
        <v>12160</v>
      </c>
      <c r="D40" s="281">
        <v>193</v>
      </c>
      <c r="E40" s="281">
        <v>145</v>
      </c>
      <c r="F40" s="281">
        <f>SUM(C40:E40)</f>
        <v>12498</v>
      </c>
      <c r="G40" s="281">
        <v>2903</v>
      </c>
      <c r="H40" s="281">
        <v>122</v>
      </c>
      <c r="I40" s="281">
        <f>SUM(F40:H40)</f>
        <v>15523</v>
      </c>
    </row>
    <row r="41" spans="1:9" ht="12.75">
      <c r="A41" s="276"/>
      <c r="B41" s="276"/>
      <c r="C41" s="3"/>
      <c r="D41" s="3"/>
      <c r="E41" s="3"/>
      <c r="F41" s="3"/>
      <c r="G41" s="3"/>
      <c r="H41" s="3"/>
      <c r="I41" s="3"/>
    </row>
    <row r="42" spans="1:9" ht="12.75">
      <c r="A42" s="280" t="s">
        <v>380</v>
      </c>
      <c r="B42" s="280"/>
      <c r="C42" s="281"/>
      <c r="D42" s="281"/>
      <c r="E42" s="281"/>
      <c r="F42" s="281"/>
      <c r="G42" s="281"/>
      <c r="H42" s="282"/>
      <c r="I42" s="281"/>
    </row>
    <row r="43" spans="1:9" ht="12.75">
      <c r="A43" s="286" t="s">
        <v>467</v>
      </c>
      <c r="B43" s="286">
        <v>14</v>
      </c>
      <c r="C43" s="281">
        <v>13604</v>
      </c>
      <c r="D43" s="281">
        <v>1118.6</v>
      </c>
      <c r="E43" s="281">
        <v>216.3</v>
      </c>
      <c r="F43" s="281">
        <v>14938.9</v>
      </c>
      <c r="G43" s="281">
        <v>2899.725</v>
      </c>
      <c r="H43" s="282"/>
      <c r="I43" s="281">
        <v>17838.625</v>
      </c>
    </row>
    <row r="44" spans="1:9" ht="12.75">
      <c r="A44" s="286" t="s">
        <v>464</v>
      </c>
      <c r="B44" s="286">
        <v>13</v>
      </c>
      <c r="C44" s="281">
        <f>C43-C45</f>
        <v>12700</v>
      </c>
      <c r="D44" s="281">
        <f aca="true" t="shared" si="2" ref="D44:I44">D43-D45</f>
        <v>1118.6</v>
      </c>
      <c r="E44" s="281">
        <f t="shared" si="2"/>
        <v>216.3</v>
      </c>
      <c r="F44" s="281">
        <f t="shared" si="2"/>
        <v>14938.9</v>
      </c>
      <c r="G44" s="281">
        <f t="shared" si="2"/>
        <v>2763.725</v>
      </c>
      <c r="H44" s="281">
        <f t="shared" si="2"/>
        <v>0</v>
      </c>
      <c r="I44" s="281">
        <f t="shared" si="2"/>
        <v>16798.625</v>
      </c>
    </row>
    <row r="45" spans="1:9" ht="12.75">
      <c r="A45" s="286" t="s">
        <v>465</v>
      </c>
      <c r="B45" s="286">
        <v>1</v>
      </c>
      <c r="C45" s="281">
        <v>904</v>
      </c>
      <c r="D45" s="281">
        <v>0</v>
      </c>
      <c r="E45" s="281">
        <v>0</v>
      </c>
      <c r="F45" s="281">
        <v>0</v>
      </c>
      <c r="G45" s="281">
        <v>136</v>
      </c>
      <c r="H45" s="282">
        <v>0</v>
      </c>
      <c r="I45" s="281">
        <f>SUM(C45:H45)</f>
        <v>1040</v>
      </c>
    </row>
    <row r="46" spans="1:9" ht="12.75">
      <c r="A46" s="276"/>
      <c r="B46" s="276"/>
      <c r="C46" s="3"/>
      <c r="D46" s="3"/>
      <c r="E46" s="3"/>
      <c r="F46" s="3"/>
      <c r="G46" s="3"/>
      <c r="I46" s="3"/>
    </row>
    <row r="47" spans="1:9" ht="25.5">
      <c r="A47" s="287" t="s">
        <v>458</v>
      </c>
      <c r="B47" s="287"/>
      <c r="C47" s="281"/>
      <c r="D47" s="281"/>
      <c r="E47" s="281"/>
      <c r="F47" s="281"/>
      <c r="G47" s="281"/>
      <c r="H47" s="282"/>
      <c r="I47" s="281"/>
    </row>
    <row r="48" spans="1:9" ht="12.75">
      <c r="A48" s="288" t="s">
        <v>467</v>
      </c>
      <c r="B48" s="288">
        <v>27</v>
      </c>
      <c r="C48" s="281">
        <v>28573</v>
      </c>
      <c r="D48" s="281">
        <v>1447.6</v>
      </c>
      <c r="E48" s="281">
        <v>761.7</v>
      </c>
      <c r="F48" s="281">
        <v>30782.3</v>
      </c>
      <c r="G48" s="281">
        <v>6165.7575</v>
      </c>
      <c r="H48" s="282"/>
      <c r="I48" s="281">
        <v>36948.057499999995</v>
      </c>
    </row>
    <row r="49" spans="1:9" ht="12.75">
      <c r="A49" s="286" t="s">
        <v>464</v>
      </c>
      <c r="B49" s="286">
        <v>25</v>
      </c>
      <c r="C49" s="281">
        <f>C48-C50</f>
        <v>27079</v>
      </c>
      <c r="D49" s="281">
        <f aca="true" t="shared" si="3" ref="D49:I49">D48-D50</f>
        <v>1447.6</v>
      </c>
      <c r="E49" s="281">
        <f t="shared" si="3"/>
        <v>761.7</v>
      </c>
      <c r="F49" s="281">
        <f t="shared" si="3"/>
        <v>30782.3</v>
      </c>
      <c r="G49" s="281">
        <f t="shared" si="3"/>
        <v>6165.7575</v>
      </c>
      <c r="H49" s="281">
        <f t="shared" si="3"/>
        <v>0</v>
      </c>
      <c r="I49" s="281">
        <f t="shared" si="3"/>
        <v>35454.057499999995</v>
      </c>
    </row>
    <row r="50" spans="1:9" ht="12.75">
      <c r="A50" s="286" t="s">
        <v>465</v>
      </c>
      <c r="B50" s="286">
        <v>2</v>
      </c>
      <c r="C50" s="281">
        <v>1494</v>
      </c>
      <c r="D50" s="281">
        <v>0</v>
      </c>
      <c r="E50" s="281">
        <v>0</v>
      </c>
      <c r="F50" s="281">
        <v>0</v>
      </c>
      <c r="G50" s="281">
        <v>0</v>
      </c>
      <c r="H50" s="282">
        <v>0</v>
      </c>
      <c r="I50" s="281">
        <f>SUM(C50:H50)</f>
        <v>1494</v>
      </c>
    </row>
    <row r="51" spans="1:9" ht="12.75">
      <c r="A51" s="276"/>
      <c r="B51" s="276"/>
      <c r="C51" s="3"/>
      <c r="D51" s="3"/>
      <c r="E51" s="3"/>
      <c r="F51" s="3"/>
      <c r="G51" s="3"/>
      <c r="I51" s="3"/>
    </row>
    <row r="52" spans="1:9" ht="25.5">
      <c r="A52" s="287" t="s">
        <v>466</v>
      </c>
      <c r="B52" s="287">
        <v>2</v>
      </c>
      <c r="C52" s="281">
        <f>Determ!M17</f>
        <v>439</v>
      </c>
      <c r="D52" s="282">
        <v>0</v>
      </c>
      <c r="E52" s="282">
        <v>0</v>
      </c>
      <c r="F52" s="281">
        <f>SUM(C52:E52)</f>
        <v>439</v>
      </c>
      <c r="G52" s="281">
        <f>Determ!R17</f>
        <v>0</v>
      </c>
      <c r="H52" s="282">
        <v>0</v>
      </c>
      <c r="I52" s="281">
        <f>SUM(F52:H52)</f>
        <v>439</v>
      </c>
    </row>
    <row r="54" spans="1:9" s="104" customFormat="1" ht="12.75">
      <c r="A54" s="280" t="s">
        <v>468</v>
      </c>
      <c r="B54" s="280"/>
      <c r="C54" s="289" t="e">
        <f>C11+C12+C14+C21+C26+C32+C38+C43+C48+C52</f>
        <v>#REF!</v>
      </c>
      <c r="D54" s="289" t="e">
        <f aca="true" t="shared" si="4" ref="D54:I54">D11+D12+D14+D21+D26+D32+D38+D43+D48+D52</f>
        <v>#REF!</v>
      </c>
      <c r="E54" s="289" t="e">
        <f t="shared" si="4"/>
        <v>#REF!</v>
      </c>
      <c r="F54" s="289" t="e">
        <f t="shared" si="4"/>
        <v>#REF!</v>
      </c>
      <c r="G54" s="289" t="e">
        <f t="shared" si="4"/>
        <v>#REF!</v>
      </c>
      <c r="H54" s="289" t="e">
        <f t="shared" si="4"/>
        <v>#REF!</v>
      </c>
      <c r="I54" s="289" t="e">
        <f t="shared" si="4"/>
        <v>#REF!</v>
      </c>
    </row>
    <row r="55" spans="1:2" ht="12.75">
      <c r="A55" s="104"/>
      <c r="B55" s="104"/>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29"/>
  <sheetViews>
    <sheetView workbookViewId="0" topLeftCell="A1">
      <selection activeCell="H19" sqref="H19"/>
    </sheetView>
  </sheetViews>
  <sheetFormatPr defaultColWidth="9.140625" defaultRowHeight="12.75"/>
  <cols>
    <col min="1" max="1" width="5.00390625" style="0" customWidth="1"/>
    <col min="2" max="2" width="34.421875" style="0" customWidth="1"/>
    <col min="3" max="3" width="9.8515625" style="0" customWidth="1"/>
    <col min="4" max="4" width="7.7109375" style="0" customWidth="1"/>
    <col min="5" max="5" width="11.28125" style="0" customWidth="1"/>
    <col min="7" max="7" width="11.140625" style="0" customWidth="1"/>
    <col min="8" max="8" width="11.00390625" style="0" customWidth="1"/>
    <col min="9" max="9" width="9.57421875" style="0" customWidth="1"/>
    <col min="10" max="10" width="10.57421875" style="0" bestFit="1" customWidth="1"/>
    <col min="11" max="11" width="11.140625" style="0" customWidth="1"/>
  </cols>
  <sheetData>
    <row r="1" ht="12.75">
      <c r="A1" t="s">
        <v>188</v>
      </c>
    </row>
    <row r="2" ht="12.75">
      <c r="A2" s="104" t="s">
        <v>492</v>
      </c>
    </row>
    <row r="3" spans="1:11" ht="12.75">
      <c r="A3" s="94" t="s">
        <v>141</v>
      </c>
      <c r="B3" s="94" t="s">
        <v>189</v>
      </c>
      <c r="C3" s="118" t="s">
        <v>191</v>
      </c>
      <c r="D3" s="118" t="s">
        <v>193</v>
      </c>
      <c r="E3" s="94" t="s">
        <v>193</v>
      </c>
      <c r="F3" s="105" t="s">
        <v>207</v>
      </c>
      <c r="G3" s="105" t="s">
        <v>209</v>
      </c>
      <c r="H3" s="121" t="s">
        <v>210</v>
      </c>
      <c r="I3" s="113" t="s">
        <v>234</v>
      </c>
      <c r="J3" s="123" t="s">
        <v>235</v>
      </c>
      <c r="K3" s="125" t="s">
        <v>242</v>
      </c>
    </row>
    <row r="4" spans="1:11" ht="12.75">
      <c r="A4" s="95" t="s">
        <v>142</v>
      </c>
      <c r="B4" s="95" t="s">
        <v>190</v>
      </c>
      <c r="C4" s="119" t="s">
        <v>192</v>
      </c>
      <c r="D4" s="119" t="s">
        <v>204</v>
      </c>
      <c r="E4" s="292">
        <v>38718</v>
      </c>
      <c r="F4" s="106"/>
      <c r="G4" s="106" t="s">
        <v>208</v>
      </c>
      <c r="H4" s="122" t="s">
        <v>243</v>
      </c>
      <c r="I4" s="114" t="s">
        <v>211</v>
      </c>
      <c r="J4" s="124" t="s">
        <v>211</v>
      </c>
      <c r="K4" s="126" t="s">
        <v>239</v>
      </c>
    </row>
    <row r="5" ht="12.75">
      <c r="B5" s="96" t="s">
        <v>183</v>
      </c>
    </row>
    <row r="6" spans="1:11" ht="12.75">
      <c r="A6" t="s">
        <v>194</v>
      </c>
      <c r="B6" s="116" t="s">
        <v>238</v>
      </c>
      <c r="C6" s="120">
        <v>4015</v>
      </c>
      <c r="D6" s="52">
        <v>0.1</v>
      </c>
      <c r="E6" s="54">
        <f>C6*D6</f>
        <v>401.5</v>
      </c>
      <c r="F6" s="52">
        <v>0.05</v>
      </c>
      <c r="G6" s="54">
        <f>C6*F6</f>
        <v>200.75</v>
      </c>
      <c r="H6" s="3">
        <v>0</v>
      </c>
      <c r="I6" s="293">
        <f>(H6*100)/H14</f>
        <v>0</v>
      </c>
      <c r="J6" s="3">
        <f>IF(G6&gt;H6,G6)</f>
        <v>200.75</v>
      </c>
      <c r="K6" s="117">
        <f aca="true" t="shared" si="0" ref="K6:K13">SUM(E6,J6)</f>
        <v>602.25</v>
      </c>
    </row>
    <row r="7" spans="1:11" ht="12.75">
      <c r="A7" t="s">
        <v>195</v>
      </c>
      <c r="B7" s="116" t="s">
        <v>196</v>
      </c>
      <c r="C7" s="3">
        <v>9879</v>
      </c>
      <c r="D7" s="52">
        <v>0.1</v>
      </c>
      <c r="E7" s="54">
        <f aca="true" t="shared" si="1" ref="E7:E13">C7*D7</f>
        <v>987.9000000000001</v>
      </c>
      <c r="F7" s="52">
        <v>0.05</v>
      </c>
      <c r="G7" s="54">
        <f aca="true" t="shared" si="2" ref="G7:G13">C7*F7</f>
        <v>493.95000000000005</v>
      </c>
      <c r="H7" s="3">
        <v>2527</v>
      </c>
      <c r="I7" s="293">
        <f>(H7*100)/H14</f>
        <v>15.047936640266778</v>
      </c>
      <c r="J7" s="3">
        <f aca="true" t="shared" si="3" ref="J7:J13">IF(H7&gt;G7,G7)</f>
        <v>493.95000000000005</v>
      </c>
      <c r="K7" s="117">
        <f t="shared" si="0"/>
        <v>1481.8500000000001</v>
      </c>
    </row>
    <row r="8" spans="1:11" ht="12.75">
      <c r="A8" t="s">
        <v>198</v>
      </c>
      <c r="B8" s="116" t="s">
        <v>197</v>
      </c>
      <c r="C8" s="3">
        <v>4716</v>
      </c>
      <c r="D8" s="52">
        <v>0.1</v>
      </c>
      <c r="E8" s="54">
        <f t="shared" si="1"/>
        <v>471.6</v>
      </c>
      <c r="F8" s="52">
        <v>0.05</v>
      </c>
      <c r="G8" s="54">
        <f t="shared" si="2"/>
        <v>235.8</v>
      </c>
      <c r="H8" s="3">
        <v>0</v>
      </c>
      <c r="I8" s="293">
        <f>(H8*100)/H14</f>
        <v>0</v>
      </c>
      <c r="J8" s="3">
        <f>IF(G8&gt;H8,G8)</f>
        <v>235.8</v>
      </c>
      <c r="K8" s="117">
        <f t="shared" si="0"/>
        <v>707.4000000000001</v>
      </c>
    </row>
    <row r="9" spans="1:11" ht="12.75">
      <c r="A9" t="s">
        <v>199</v>
      </c>
      <c r="B9" s="116" t="s">
        <v>232</v>
      </c>
      <c r="C9" s="3">
        <v>27331</v>
      </c>
      <c r="D9" s="52">
        <v>0.1</v>
      </c>
      <c r="E9" s="54">
        <f t="shared" si="1"/>
        <v>2733.1000000000004</v>
      </c>
      <c r="F9" s="52">
        <v>0.05</v>
      </c>
      <c r="G9" s="54">
        <f t="shared" si="2"/>
        <v>1366.5500000000002</v>
      </c>
      <c r="H9" s="3">
        <v>3249</v>
      </c>
      <c r="I9" s="293">
        <f>(H9*100)/H14</f>
        <v>19.347347108914427</v>
      </c>
      <c r="J9" s="3">
        <f t="shared" si="3"/>
        <v>1366.5500000000002</v>
      </c>
      <c r="K9" s="117">
        <f t="shared" si="0"/>
        <v>4099.650000000001</v>
      </c>
    </row>
    <row r="10" spans="1:11" ht="12.75">
      <c r="A10" t="s">
        <v>200</v>
      </c>
      <c r="B10" s="116" t="s">
        <v>488</v>
      </c>
      <c r="C10" s="3">
        <v>34030</v>
      </c>
      <c r="D10" s="52">
        <v>0.1</v>
      </c>
      <c r="E10" s="54">
        <f t="shared" si="1"/>
        <v>3403</v>
      </c>
      <c r="F10" s="52">
        <v>0.05</v>
      </c>
      <c r="G10" s="54">
        <f t="shared" si="2"/>
        <v>1701.5</v>
      </c>
      <c r="H10" s="3">
        <v>3881</v>
      </c>
      <c r="I10" s="293">
        <f>(H10*100)/H14</f>
        <v>23.11081998451736</v>
      </c>
      <c r="J10" s="3">
        <f t="shared" si="3"/>
        <v>1701.5</v>
      </c>
      <c r="K10" s="117">
        <f t="shared" si="0"/>
        <v>5104.5</v>
      </c>
    </row>
    <row r="11" spans="1:11" ht="12.75">
      <c r="A11" t="s">
        <v>201</v>
      </c>
      <c r="B11" s="116" t="s">
        <v>487</v>
      </c>
      <c r="C11" s="25">
        <v>16799</v>
      </c>
      <c r="D11" s="52">
        <v>0.1</v>
      </c>
      <c r="E11" s="54">
        <f t="shared" si="1"/>
        <v>1679.9</v>
      </c>
      <c r="F11" s="52">
        <v>0.05</v>
      </c>
      <c r="G11" s="54">
        <f t="shared" si="2"/>
        <v>839.95</v>
      </c>
      <c r="H11" s="3">
        <v>478</v>
      </c>
      <c r="I11" s="293">
        <f>(H11*100)/H14</f>
        <v>2.8464241052819625</v>
      </c>
      <c r="J11" s="3">
        <f>IF(G11&gt;H11,G11)</f>
        <v>839.95</v>
      </c>
      <c r="K11" s="117">
        <f t="shared" si="0"/>
        <v>2519.8500000000004</v>
      </c>
    </row>
    <row r="12" spans="1:11" ht="12.75">
      <c r="A12" t="s">
        <v>202</v>
      </c>
      <c r="B12" s="116" t="s">
        <v>233</v>
      </c>
      <c r="C12" s="3">
        <v>35454</v>
      </c>
      <c r="D12" s="52">
        <v>0.1</v>
      </c>
      <c r="E12" s="54">
        <f t="shared" si="1"/>
        <v>3545.4</v>
      </c>
      <c r="F12" s="52">
        <v>0.05</v>
      </c>
      <c r="G12" s="54">
        <f t="shared" si="2"/>
        <v>1772.7</v>
      </c>
      <c r="H12" s="3">
        <v>3664</v>
      </c>
      <c r="I12" s="293">
        <f>(H12*100)/H14</f>
        <v>21.818614899065086</v>
      </c>
      <c r="J12" s="3">
        <f t="shared" si="3"/>
        <v>1772.7</v>
      </c>
      <c r="K12" s="117">
        <f t="shared" si="0"/>
        <v>5318.1</v>
      </c>
    </row>
    <row r="13" spans="1:11" ht="12.75">
      <c r="A13" t="s">
        <v>485</v>
      </c>
      <c r="B13" s="116" t="s">
        <v>486</v>
      </c>
      <c r="C13" s="3">
        <v>17444</v>
      </c>
      <c r="D13" s="52">
        <v>0.1</v>
      </c>
      <c r="E13" s="54">
        <f t="shared" si="1"/>
        <v>1744.4</v>
      </c>
      <c r="F13" s="52">
        <v>0.05</v>
      </c>
      <c r="G13" s="54">
        <f t="shared" si="2"/>
        <v>872.2</v>
      </c>
      <c r="H13" s="3">
        <v>2994</v>
      </c>
      <c r="I13" s="293">
        <v>18.352</v>
      </c>
      <c r="J13" s="3">
        <f t="shared" si="3"/>
        <v>872.2</v>
      </c>
      <c r="K13" s="117">
        <f t="shared" si="0"/>
        <v>2616.6000000000004</v>
      </c>
    </row>
    <row r="14" spans="2:11" ht="12.75">
      <c r="B14" t="s">
        <v>203</v>
      </c>
      <c r="C14" s="3">
        <f>SUM(C6:C13)</f>
        <v>149668</v>
      </c>
      <c r="D14" s="3"/>
      <c r="E14" s="223">
        <f>SUM(E6:E13)</f>
        <v>14966.8</v>
      </c>
      <c r="G14" s="223">
        <f>SUM(G6:G13)</f>
        <v>7483.4</v>
      </c>
      <c r="H14" s="3">
        <f>SUM(H6:H13)</f>
        <v>16793</v>
      </c>
      <c r="I14" s="3">
        <f>SUM(I6:I13)</f>
        <v>100.52314273804562</v>
      </c>
      <c r="J14" s="223">
        <f>SUM(J6:J13)</f>
        <v>7483.4</v>
      </c>
      <c r="K14" s="117">
        <f>SUM(K6:K12)</f>
        <v>19833.600000000002</v>
      </c>
    </row>
    <row r="16" ht="12.75">
      <c r="B16" s="96" t="s">
        <v>184</v>
      </c>
    </row>
    <row r="18" spans="2:6" ht="12.75">
      <c r="B18" s="115" t="s">
        <v>244</v>
      </c>
      <c r="C18" s="3">
        <v>15522</v>
      </c>
      <c r="D18" s="52">
        <v>0.02</v>
      </c>
      <c r="E18" s="54">
        <f aca="true" t="shared" si="4" ref="E18:E23">C18*D18</f>
        <v>310.44</v>
      </c>
      <c r="F18" s="54"/>
    </row>
    <row r="19" spans="2:6" ht="12.75">
      <c r="B19" s="115" t="s">
        <v>241</v>
      </c>
      <c r="C19" s="3">
        <v>1040</v>
      </c>
      <c r="D19" s="52">
        <v>0.02</v>
      </c>
      <c r="E19" s="54">
        <f t="shared" si="4"/>
        <v>20.8</v>
      </c>
      <c r="F19" s="54"/>
    </row>
    <row r="20" spans="2:6" ht="12.75">
      <c r="B20" s="115" t="s">
        <v>489</v>
      </c>
      <c r="C20" s="3">
        <v>1612</v>
      </c>
      <c r="D20" s="52">
        <v>0.02</v>
      </c>
      <c r="E20" s="54">
        <f t="shared" si="4"/>
        <v>32.24</v>
      </c>
      <c r="F20" s="54"/>
    </row>
    <row r="21" spans="2:6" ht="12.75">
      <c r="B21" s="115" t="s">
        <v>490</v>
      </c>
      <c r="C21" s="3">
        <v>1085</v>
      </c>
      <c r="D21" s="52">
        <v>0.02</v>
      </c>
      <c r="E21" s="54">
        <f t="shared" si="4"/>
        <v>21.7</v>
      </c>
      <c r="F21" s="54"/>
    </row>
    <row r="22" spans="2:6" ht="12.75">
      <c r="B22" s="116" t="s">
        <v>486</v>
      </c>
      <c r="C22" s="3">
        <v>1471</v>
      </c>
      <c r="D22" s="52">
        <v>0.02</v>
      </c>
      <c r="E22" s="54">
        <f t="shared" si="4"/>
        <v>29.42</v>
      </c>
      <c r="F22" s="54"/>
    </row>
    <row r="23" spans="2:6" ht="12.75">
      <c r="B23" s="116" t="s">
        <v>491</v>
      </c>
      <c r="C23" s="3">
        <v>692</v>
      </c>
      <c r="D23" s="52">
        <v>0.02</v>
      </c>
      <c r="E23" s="54">
        <f t="shared" si="4"/>
        <v>13.84</v>
      </c>
      <c r="F23" s="54"/>
    </row>
    <row r="24" spans="2:6" ht="12.75">
      <c r="B24" s="104" t="s">
        <v>22</v>
      </c>
      <c r="C24" s="3">
        <f>SUM(C18:C23)</f>
        <v>21422</v>
      </c>
      <c r="E24" s="223">
        <f>SUM(E18:E22)</f>
        <v>414.6</v>
      </c>
      <c r="F24" s="3"/>
    </row>
    <row r="25" ht="12.75">
      <c r="C25" s="3"/>
    </row>
    <row r="26" ht="12.75">
      <c r="C26" s="3"/>
    </row>
    <row r="27" ht="12.75">
      <c r="C27" s="3"/>
    </row>
    <row r="29" ht="12.75">
      <c r="B29" s="104"/>
    </row>
  </sheetData>
  <printOptions/>
  <pageMargins left="0.75" right="0.75" top="1" bottom="1" header="0.5" footer="0.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codeName="Sheet8"/>
  <dimension ref="B1:X36"/>
  <sheetViews>
    <sheetView workbookViewId="0" topLeftCell="A4">
      <selection activeCell="C15" sqref="C15"/>
    </sheetView>
  </sheetViews>
  <sheetFormatPr defaultColWidth="9.140625" defaultRowHeight="12.75"/>
  <cols>
    <col min="2" max="2" width="4.7109375" style="0" customWidth="1"/>
    <col min="3" max="3" width="27.140625" style="0" customWidth="1"/>
    <col min="4" max="4" width="11.8515625" style="0" customWidth="1"/>
    <col min="5" max="5" width="21.7109375" style="0" customWidth="1"/>
    <col min="7" max="9" width="13.140625" style="0" hidden="1" customWidth="1"/>
    <col min="10" max="10" width="0.13671875" style="0" customWidth="1"/>
    <col min="11" max="12" width="13.140625" style="0" hidden="1" customWidth="1"/>
    <col min="13" max="13" width="13.140625" style="0" customWidth="1"/>
    <col min="14" max="14" width="11.00390625" style="0" customWidth="1"/>
    <col min="15" max="15" width="7.57421875" style="0" customWidth="1"/>
    <col min="16" max="16" width="12.8515625" style="0" customWidth="1"/>
    <col min="17" max="17" width="8.28125" style="0" customWidth="1"/>
    <col min="18" max="18" width="13.00390625" style="0" customWidth="1"/>
    <col min="19" max="19" width="11.57421875" style="0" customWidth="1"/>
  </cols>
  <sheetData>
    <row r="1" spans="2:24" ht="12.75">
      <c r="B1" s="4" t="s">
        <v>0</v>
      </c>
      <c r="C1" s="4"/>
      <c r="D1" s="4"/>
      <c r="E1" s="3"/>
      <c r="F1" s="5"/>
      <c r="G1" s="3"/>
      <c r="H1" s="3"/>
      <c r="I1" s="3"/>
      <c r="J1" s="3"/>
      <c r="K1" s="3"/>
      <c r="L1" s="3"/>
      <c r="M1" s="3"/>
      <c r="N1" s="3"/>
      <c r="O1" s="3"/>
      <c r="P1" s="3"/>
      <c r="Q1" s="438" t="s">
        <v>2</v>
      </c>
      <c r="R1" s="438"/>
      <c r="T1" s="3"/>
      <c r="U1" s="3"/>
      <c r="V1" s="3"/>
      <c r="W1" s="3"/>
      <c r="X1" s="3"/>
    </row>
    <row r="2" spans="2:24" ht="12.75">
      <c r="B2" s="3" t="s">
        <v>127</v>
      </c>
      <c r="C2" s="3"/>
      <c r="D2" s="3"/>
      <c r="E2" s="3"/>
      <c r="F2" s="5"/>
      <c r="G2" s="3"/>
      <c r="H2" s="3"/>
      <c r="I2" s="3"/>
      <c r="J2" s="3"/>
      <c r="K2" s="3"/>
      <c r="L2" s="3"/>
      <c r="M2" s="3"/>
      <c r="N2" s="3"/>
      <c r="O2" s="3"/>
      <c r="P2" s="3"/>
      <c r="Q2" s="438" t="s">
        <v>3</v>
      </c>
      <c r="R2" s="438"/>
      <c r="T2" s="3"/>
      <c r="U2" s="3"/>
      <c r="V2" s="3"/>
      <c r="W2" s="3"/>
      <c r="X2" s="3"/>
    </row>
    <row r="3" spans="2:24" ht="12.75">
      <c r="B3" s="3"/>
      <c r="C3" s="3"/>
      <c r="D3" s="3"/>
      <c r="E3" s="3"/>
      <c r="F3" s="5"/>
      <c r="G3" s="3"/>
      <c r="H3" s="3"/>
      <c r="I3" s="3"/>
      <c r="J3" s="3"/>
      <c r="K3" s="3"/>
      <c r="L3" s="3"/>
      <c r="M3" s="3"/>
      <c r="N3" s="3"/>
      <c r="O3" s="3"/>
      <c r="P3" s="3"/>
      <c r="Q3" s="445" t="s">
        <v>512</v>
      </c>
      <c r="R3" s="445"/>
      <c r="T3" s="3"/>
      <c r="U3" s="3"/>
      <c r="V3" s="3"/>
      <c r="W3" s="3"/>
      <c r="X3" s="3"/>
    </row>
    <row r="4" spans="2:24" ht="12.75">
      <c r="B4" s="3"/>
      <c r="C4" s="3"/>
      <c r="D4" s="3"/>
      <c r="E4" s="3"/>
      <c r="F4" s="5"/>
      <c r="G4" s="3"/>
      <c r="H4" s="3"/>
      <c r="I4" s="3"/>
      <c r="J4" s="3"/>
      <c r="K4" s="3"/>
      <c r="L4" s="3"/>
      <c r="M4" s="3"/>
      <c r="N4" s="3"/>
      <c r="O4" s="3"/>
      <c r="P4" s="3"/>
      <c r="Q4" s="3"/>
      <c r="R4" s="3"/>
      <c r="S4" s="3"/>
      <c r="T4" s="3"/>
      <c r="U4" s="3"/>
      <c r="V4" s="3"/>
      <c r="W4" s="3"/>
      <c r="X4" s="3"/>
    </row>
    <row r="5" spans="2:24" ht="12.75">
      <c r="B5" s="3"/>
      <c r="C5" s="3"/>
      <c r="D5" s="3"/>
      <c r="E5" s="3"/>
      <c r="F5" s="5"/>
      <c r="G5" s="3"/>
      <c r="H5" s="3"/>
      <c r="I5" s="3"/>
      <c r="J5" s="3"/>
      <c r="K5" s="3"/>
      <c r="L5" s="3"/>
      <c r="M5" s="3"/>
      <c r="N5" s="3"/>
      <c r="O5" s="3"/>
      <c r="P5" s="3"/>
      <c r="Q5" s="3"/>
      <c r="R5" s="3"/>
      <c r="S5" s="3"/>
      <c r="T5" s="3"/>
      <c r="U5" s="3"/>
      <c r="V5" s="3"/>
      <c r="W5" s="3"/>
      <c r="X5" s="3"/>
    </row>
    <row r="6" spans="2:24" ht="12.75">
      <c r="B6" s="422" t="s">
        <v>1</v>
      </c>
      <c r="C6" s="422"/>
      <c r="D6" s="422"/>
      <c r="E6" s="422"/>
      <c r="F6" s="422"/>
      <c r="G6" s="422"/>
      <c r="H6" s="422"/>
      <c r="I6" s="422"/>
      <c r="J6" s="422"/>
      <c r="K6" s="422"/>
      <c r="L6" s="422"/>
      <c r="M6" s="422"/>
      <c r="N6" s="422"/>
      <c r="O6" s="422"/>
      <c r="P6" s="422"/>
      <c r="Q6" s="422"/>
      <c r="R6" s="422"/>
      <c r="S6" s="422"/>
      <c r="T6" s="3"/>
      <c r="U6" s="3"/>
      <c r="V6" s="3"/>
      <c r="W6" s="3"/>
      <c r="X6" s="3"/>
    </row>
    <row r="7" spans="2:22" ht="12.75">
      <c r="B7" s="3"/>
      <c r="C7" s="3"/>
      <c r="D7" s="3"/>
      <c r="E7" s="3"/>
      <c r="F7" s="5"/>
      <c r="G7" s="3"/>
      <c r="H7" s="3"/>
      <c r="I7" s="3"/>
      <c r="J7" s="3"/>
      <c r="K7" s="3"/>
      <c r="L7" s="3"/>
      <c r="M7" s="3"/>
      <c r="N7" s="3"/>
      <c r="O7" s="3"/>
      <c r="P7" s="3"/>
      <c r="Q7" s="3"/>
      <c r="R7" s="3"/>
      <c r="S7" s="3"/>
      <c r="T7" s="3"/>
      <c r="U7" s="3"/>
      <c r="V7" s="3"/>
    </row>
    <row r="8" spans="2:22" ht="12.75">
      <c r="B8" s="3"/>
      <c r="C8" s="3"/>
      <c r="D8" s="3"/>
      <c r="E8" s="3"/>
      <c r="F8" s="5"/>
      <c r="G8" s="3"/>
      <c r="H8" s="3"/>
      <c r="I8" s="3"/>
      <c r="J8" s="3"/>
      <c r="K8" s="3"/>
      <c r="L8" s="3"/>
      <c r="M8" s="3"/>
      <c r="N8" s="3"/>
      <c r="O8" s="3"/>
      <c r="P8" s="3"/>
      <c r="Q8" s="3"/>
      <c r="R8" s="3"/>
      <c r="S8" s="3"/>
      <c r="T8" s="3"/>
      <c r="U8" s="3"/>
      <c r="V8" s="3"/>
    </row>
    <row r="9" spans="2:22" ht="12.75">
      <c r="B9" s="3"/>
      <c r="C9" s="3"/>
      <c r="D9" s="3"/>
      <c r="E9" s="3"/>
      <c r="F9" s="5"/>
      <c r="G9" s="3"/>
      <c r="H9" s="3"/>
      <c r="I9" s="3"/>
      <c r="J9" s="3"/>
      <c r="K9" s="3"/>
      <c r="L9" s="3"/>
      <c r="M9" s="3"/>
      <c r="N9" s="3"/>
      <c r="O9" s="3"/>
      <c r="P9" s="3"/>
      <c r="Q9" s="445"/>
      <c r="R9" s="445"/>
      <c r="S9" s="3"/>
      <c r="T9" s="3"/>
      <c r="U9" s="3"/>
      <c r="V9" s="3"/>
    </row>
    <row r="10" spans="2:22" ht="13.5" thickBot="1">
      <c r="B10" s="3"/>
      <c r="C10" s="3"/>
      <c r="D10" s="3"/>
      <c r="E10" s="3"/>
      <c r="F10" s="5"/>
      <c r="G10" s="3"/>
      <c r="H10" s="3"/>
      <c r="I10" s="3"/>
      <c r="J10" s="3"/>
      <c r="K10" s="3"/>
      <c r="L10" s="3"/>
      <c r="M10" s="3"/>
      <c r="O10" s="3"/>
      <c r="P10" s="55"/>
      <c r="Q10" s="26" t="s">
        <v>493</v>
      </c>
      <c r="R10" s="3"/>
      <c r="S10" s="3"/>
      <c r="T10" s="3"/>
      <c r="U10" s="3"/>
      <c r="V10" s="3"/>
    </row>
    <row r="11" spans="2:24" s="2" customFormat="1" ht="13.5" thickBot="1">
      <c r="B11" s="28" t="s">
        <v>141</v>
      </c>
      <c r="C11" s="439" t="s">
        <v>5</v>
      </c>
      <c r="D11" s="441"/>
      <c r="E11" s="8" t="s">
        <v>8</v>
      </c>
      <c r="F11" s="6" t="s">
        <v>9</v>
      </c>
      <c r="G11" s="7" t="s">
        <v>17</v>
      </c>
      <c r="H11" s="7" t="s">
        <v>17</v>
      </c>
      <c r="I11" s="7" t="s">
        <v>17</v>
      </c>
      <c r="J11" s="7" t="s">
        <v>17</v>
      </c>
      <c r="K11" s="7" t="s">
        <v>17</v>
      </c>
      <c r="L11" s="7" t="s">
        <v>17</v>
      </c>
      <c r="M11" s="7" t="s">
        <v>17</v>
      </c>
      <c r="N11" s="7" t="s">
        <v>18</v>
      </c>
      <c r="O11" s="6" t="s">
        <v>21</v>
      </c>
      <c r="P11" s="27" t="s">
        <v>22</v>
      </c>
      <c r="Q11" s="439" t="s">
        <v>24</v>
      </c>
      <c r="R11" s="440"/>
      <c r="S11" s="109" t="s">
        <v>22</v>
      </c>
      <c r="T11" s="14"/>
      <c r="U11" s="14"/>
      <c r="V11" s="14"/>
      <c r="W11" s="14"/>
      <c r="X11" s="14"/>
    </row>
    <row r="12" spans="2:24" s="2" customFormat="1" ht="12.75">
      <c r="B12" s="9" t="s">
        <v>142</v>
      </c>
      <c r="C12" s="6" t="s">
        <v>6</v>
      </c>
      <c r="D12" s="6" t="s">
        <v>7</v>
      </c>
      <c r="E12" s="12"/>
      <c r="F12" s="10" t="s">
        <v>10</v>
      </c>
      <c r="G12" s="11"/>
      <c r="H12" s="11"/>
      <c r="I12" s="11"/>
      <c r="J12" s="11"/>
      <c r="K12" s="11"/>
      <c r="L12" s="10" t="s">
        <v>168</v>
      </c>
      <c r="M12" s="10"/>
      <c r="N12" s="11" t="s">
        <v>19</v>
      </c>
      <c r="O12" s="10" t="s">
        <v>20</v>
      </c>
      <c r="P12" s="10" t="s">
        <v>23</v>
      </c>
      <c r="Q12" s="7" t="s">
        <v>25</v>
      </c>
      <c r="R12" s="86" t="s">
        <v>26</v>
      </c>
      <c r="S12" s="110" t="s">
        <v>27</v>
      </c>
      <c r="T12" s="14"/>
      <c r="U12" s="14"/>
      <c r="V12" s="14"/>
      <c r="W12" s="14"/>
      <c r="X12" s="14"/>
    </row>
    <row r="13" spans="2:24" s="2" customFormat="1" ht="13.5" thickBot="1">
      <c r="B13" s="15"/>
      <c r="C13" s="16"/>
      <c r="D13" s="16"/>
      <c r="E13" s="19"/>
      <c r="F13" s="18"/>
      <c r="G13" s="16"/>
      <c r="H13" s="16"/>
      <c r="I13" s="16"/>
      <c r="J13" s="16"/>
      <c r="K13" s="16"/>
      <c r="L13" s="131">
        <v>2005</v>
      </c>
      <c r="M13" s="131"/>
      <c r="N13" s="16"/>
      <c r="O13" s="16"/>
      <c r="P13" s="16"/>
      <c r="Q13" s="16"/>
      <c r="R13" s="17"/>
      <c r="S13" s="98"/>
      <c r="T13" s="14"/>
      <c r="U13" s="14"/>
      <c r="V13" s="14"/>
      <c r="W13" s="14"/>
      <c r="X13" s="14"/>
    </row>
    <row r="14" spans="2:24" s="2" customFormat="1" ht="12.75">
      <c r="B14" s="14"/>
      <c r="C14" s="14"/>
      <c r="D14" s="14"/>
      <c r="E14" s="14"/>
      <c r="F14" s="84"/>
      <c r="G14" s="14"/>
      <c r="H14" s="14"/>
      <c r="I14" s="14"/>
      <c r="J14" s="14"/>
      <c r="K14" s="14"/>
      <c r="L14" s="14"/>
      <c r="M14" s="14"/>
      <c r="N14" s="14"/>
      <c r="O14" s="14"/>
      <c r="P14" s="14"/>
      <c r="Q14" s="14"/>
      <c r="R14" s="14"/>
      <c r="S14" s="14"/>
      <c r="T14" s="14"/>
      <c r="U14" s="14"/>
      <c r="V14" s="14"/>
      <c r="W14" s="14"/>
      <c r="X14" s="14"/>
    </row>
    <row r="15" spans="2:24" s="2" customFormat="1" ht="12.75">
      <c r="B15" s="3">
        <v>155</v>
      </c>
      <c r="C15" s="3" t="s">
        <v>535</v>
      </c>
      <c r="D15" s="3"/>
      <c r="E15" s="3" t="s">
        <v>511</v>
      </c>
      <c r="F15" s="5" t="s">
        <v>30</v>
      </c>
      <c r="G15" s="3"/>
      <c r="H15" s="66"/>
      <c r="I15" s="66"/>
      <c r="J15" s="5"/>
      <c r="K15" s="81"/>
      <c r="L15" s="81">
        <v>5404500</v>
      </c>
      <c r="M15" s="81">
        <v>439</v>
      </c>
      <c r="N15" s="3"/>
      <c r="O15" s="3"/>
      <c r="P15" s="14">
        <f>SUM(M15:O15)</f>
        <v>439</v>
      </c>
      <c r="Q15" s="20"/>
      <c r="R15" s="3">
        <f>P15*Q15</f>
        <v>0</v>
      </c>
      <c r="S15" s="3">
        <f>SUM(P15,R15)</f>
        <v>439</v>
      </c>
      <c r="T15" s="14"/>
      <c r="U15" s="14"/>
      <c r="V15" s="14"/>
      <c r="W15" s="14"/>
      <c r="X15" s="14"/>
    </row>
    <row r="16" spans="2:24" s="2" customFormat="1" ht="12.75">
      <c r="B16" s="3"/>
      <c r="C16" s="3"/>
      <c r="D16" s="3"/>
      <c r="E16" s="3"/>
      <c r="F16" s="5"/>
      <c r="G16" s="3"/>
      <c r="H16" s="66"/>
      <c r="I16" s="66"/>
      <c r="J16" s="5"/>
      <c r="K16" s="81"/>
      <c r="L16" s="81"/>
      <c r="M16" s="81"/>
      <c r="N16" s="3"/>
      <c r="O16" s="3"/>
      <c r="P16" s="14"/>
      <c r="Q16" s="20"/>
      <c r="R16" s="3"/>
      <c r="S16" s="3"/>
      <c r="T16" s="14"/>
      <c r="U16" s="14"/>
      <c r="V16" s="14"/>
      <c r="W16" s="14"/>
      <c r="X16" s="14"/>
    </row>
    <row r="17" spans="2:24" s="1" customFormat="1" ht="12.75">
      <c r="B17" s="4"/>
      <c r="C17" s="48" t="s">
        <v>68</v>
      </c>
      <c r="D17" s="48"/>
      <c r="E17" s="48"/>
      <c r="F17" s="49"/>
      <c r="G17" s="48" t="e">
        <f>SUM(#REF!)</f>
        <v>#REF!</v>
      </c>
      <c r="H17" s="48"/>
      <c r="I17" s="48" t="e">
        <f>SUM(#REF!)</f>
        <v>#REF!</v>
      </c>
      <c r="J17" s="49" t="e">
        <f>SUM(#REF!)</f>
        <v>#REF!</v>
      </c>
      <c r="K17" s="93" t="e">
        <f>SUM(#REF!)</f>
        <v>#REF!</v>
      </c>
      <c r="L17" s="93">
        <f>SUM(L15:L15)</f>
        <v>5404500</v>
      </c>
      <c r="M17" s="93">
        <f>SUM(M15:M16)</f>
        <v>439</v>
      </c>
      <c r="N17" s="93"/>
      <c r="O17" s="93"/>
      <c r="P17" s="93">
        <f>SUM(P15:P15)</f>
        <v>439</v>
      </c>
      <c r="Q17" s="93"/>
      <c r="R17" s="93">
        <f>SUM(R15:R15)</f>
        <v>0</v>
      </c>
      <c r="S17" s="93">
        <f>SUM(S15:S15)</f>
        <v>439</v>
      </c>
      <c r="T17" s="48"/>
      <c r="U17" s="48"/>
      <c r="V17" s="4"/>
      <c r="W17" s="4"/>
      <c r="X17" s="4"/>
    </row>
    <row r="18" spans="2:24" s="1" customFormat="1" ht="12.75">
      <c r="B18" s="4"/>
      <c r="C18" s="4"/>
      <c r="D18" s="4"/>
      <c r="F18" s="21"/>
      <c r="G18" s="4"/>
      <c r="H18" s="4"/>
      <c r="I18" s="4"/>
      <c r="J18" s="4"/>
      <c r="K18" s="4"/>
      <c r="L18" s="4"/>
      <c r="M18" s="4"/>
      <c r="N18" s="4"/>
      <c r="O18" s="4"/>
      <c r="P18" s="4"/>
      <c r="Q18" s="4"/>
      <c r="R18" s="4"/>
      <c r="S18" s="4"/>
      <c r="T18" s="4"/>
      <c r="U18" s="4"/>
      <c r="V18" s="4"/>
      <c r="W18" s="4"/>
      <c r="X18" s="4"/>
    </row>
    <row r="19" spans="2:24" s="1" customFormat="1" ht="12.75">
      <c r="B19" s="4"/>
      <c r="C19" s="4"/>
      <c r="D19" s="4"/>
      <c r="F19" s="21"/>
      <c r="G19" s="4"/>
      <c r="H19" s="4"/>
      <c r="I19" s="4"/>
      <c r="J19" s="4"/>
      <c r="K19" s="4"/>
      <c r="L19" s="4"/>
      <c r="M19" s="4"/>
      <c r="N19" s="4"/>
      <c r="O19" s="4"/>
      <c r="P19" s="4"/>
      <c r="Q19" s="4"/>
      <c r="R19" s="4"/>
      <c r="S19" s="4"/>
      <c r="T19" s="4"/>
      <c r="U19" s="4"/>
      <c r="V19" s="4"/>
      <c r="W19" s="4"/>
      <c r="X19" s="4"/>
    </row>
    <row r="20" spans="2:24" s="1" customFormat="1" ht="12.75">
      <c r="B20" s="4"/>
      <c r="C20" s="4"/>
      <c r="D20" s="4"/>
      <c r="F20" s="21"/>
      <c r="G20" s="4"/>
      <c r="H20" s="4"/>
      <c r="I20" s="4"/>
      <c r="J20" s="4"/>
      <c r="K20" s="4"/>
      <c r="L20" s="4"/>
      <c r="M20" s="4"/>
      <c r="N20" s="4"/>
      <c r="O20" s="4"/>
      <c r="P20" s="4"/>
      <c r="Q20" s="4"/>
      <c r="R20" s="4"/>
      <c r="S20" s="4"/>
      <c r="T20" s="4"/>
      <c r="U20" s="4"/>
      <c r="V20" s="4"/>
      <c r="W20" s="4"/>
      <c r="X20" s="4"/>
    </row>
    <row r="21" spans="2:24" s="1" customFormat="1" ht="12.75">
      <c r="B21" s="4"/>
      <c r="C21" s="4"/>
      <c r="D21" s="4"/>
      <c r="F21" s="21"/>
      <c r="G21" s="4"/>
      <c r="H21" s="4"/>
      <c r="I21" s="4"/>
      <c r="J21" s="4"/>
      <c r="K21" s="4"/>
      <c r="L21" s="4"/>
      <c r="M21" s="4"/>
      <c r="N21" s="4"/>
      <c r="O21" s="4"/>
      <c r="P21" s="4"/>
      <c r="Q21" s="4"/>
      <c r="R21" s="4"/>
      <c r="S21" s="4"/>
      <c r="T21" s="4"/>
      <c r="U21" s="4"/>
      <c r="V21" s="4"/>
      <c r="W21" s="4"/>
      <c r="X21" s="4"/>
    </row>
    <row r="22" spans="2:24" s="1" customFormat="1" ht="12.75">
      <c r="B22" s="4"/>
      <c r="C22" s="4"/>
      <c r="D22" s="4"/>
      <c r="F22" s="21"/>
      <c r="G22" s="4"/>
      <c r="H22" s="4"/>
      <c r="I22" s="4"/>
      <c r="J22" s="4"/>
      <c r="K22" s="4"/>
      <c r="L22" s="4"/>
      <c r="M22" s="4"/>
      <c r="N22" s="4"/>
      <c r="O22" s="4"/>
      <c r="P22" s="4"/>
      <c r="Q22" s="4"/>
      <c r="R22" s="4"/>
      <c r="S22" s="4"/>
      <c r="T22" s="4"/>
      <c r="U22" s="4"/>
      <c r="V22" s="4"/>
      <c r="W22" s="4"/>
      <c r="X22" s="4"/>
    </row>
    <row r="23" spans="2:24" s="1" customFormat="1" ht="12.75">
      <c r="B23" s="4"/>
      <c r="K23" s="4"/>
      <c r="L23" s="4"/>
      <c r="M23" s="4"/>
      <c r="N23" s="4"/>
      <c r="O23" s="4"/>
      <c r="P23" s="4"/>
      <c r="Q23" s="4"/>
      <c r="R23" s="4"/>
      <c r="S23" s="4"/>
      <c r="T23" s="4"/>
      <c r="U23" s="4"/>
      <c r="V23" s="4"/>
      <c r="W23" s="4"/>
      <c r="X23" s="4"/>
    </row>
    <row r="24" spans="2:24" ht="12.75">
      <c r="B24" s="3"/>
      <c r="K24" s="3"/>
      <c r="L24" s="3"/>
      <c r="M24" s="3"/>
      <c r="N24" s="3" t="s">
        <v>0</v>
      </c>
      <c r="O24" s="3"/>
      <c r="P24" s="3"/>
      <c r="Q24" s="3"/>
      <c r="R24" s="3"/>
      <c r="S24" s="3"/>
      <c r="T24" s="3"/>
      <c r="U24" s="3"/>
      <c r="V24" s="3"/>
      <c r="W24" s="3"/>
      <c r="X24" s="3"/>
    </row>
    <row r="25" spans="2:24" ht="12.75">
      <c r="B25" s="3"/>
      <c r="K25" s="443" t="s">
        <v>424</v>
      </c>
      <c r="L25" s="443"/>
      <c r="M25" s="443"/>
      <c r="N25" s="443"/>
      <c r="O25" s="443"/>
      <c r="P25" s="443"/>
      <c r="Q25" s="443"/>
      <c r="R25" s="443"/>
      <c r="S25" s="443"/>
      <c r="T25" s="92"/>
      <c r="U25" s="3"/>
      <c r="V25" s="3"/>
      <c r="W25" s="3"/>
      <c r="X25" s="3"/>
    </row>
    <row r="26" spans="2:24" ht="12.75">
      <c r="B26" s="3"/>
      <c r="K26" s="438" t="s">
        <v>434</v>
      </c>
      <c r="L26" s="438"/>
      <c r="M26" s="438"/>
      <c r="N26" s="438"/>
      <c r="O26" s="438"/>
      <c r="P26" s="438"/>
      <c r="Q26" s="90"/>
      <c r="R26" s="90"/>
      <c r="S26" s="90"/>
      <c r="T26" s="90"/>
      <c r="U26" s="3"/>
      <c r="V26" s="3"/>
      <c r="W26" s="3"/>
      <c r="X26" s="3"/>
    </row>
    <row r="27" spans="2:24" ht="12.75">
      <c r="B27" s="3"/>
      <c r="K27" s="453" t="s">
        <v>435</v>
      </c>
      <c r="L27" s="453"/>
      <c r="M27" s="453"/>
      <c r="N27" s="453"/>
      <c r="O27" s="453"/>
      <c r="P27" s="453"/>
      <c r="Q27" s="453"/>
      <c r="R27" s="453"/>
      <c r="S27" s="90"/>
      <c r="T27" s="90"/>
      <c r="U27" s="3"/>
      <c r="V27" s="3"/>
      <c r="W27" s="3"/>
      <c r="X27" s="3"/>
    </row>
    <row r="28" spans="2:24" ht="12.75">
      <c r="B28" s="3"/>
      <c r="K28" s="453" t="s">
        <v>436</v>
      </c>
      <c r="L28" s="453"/>
      <c r="M28" s="453"/>
      <c r="N28" s="453"/>
      <c r="O28" s="453"/>
      <c r="P28" s="453"/>
      <c r="Q28" s="453"/>
      <c r="R28" s="453"/>
      <c r="S28" s="90"/>
      <c r="T28" s="90"/>
      <c r="U28" s="3"/>
      <c r="V28" s="3"/>
      <c r="W28" s="3"/>
      <c r="X28" s="3"/>
    </row>
    <row r="29" spans="2:24" ht="12.75">
      <c r="B29" s="3"/>
      <c r="K29" s="91" t="s">
        <v>332</v>
      </c>
      <c r="L29" s="144" t="s">
        <v>333</v>
      </c>
      <c r="M29" s="442" t="s">
        <v>443</v>
      </c>
      <c r="N29" s="442"/>
      <c r="O29" s="442"/>
      <c r="P29" s="266">
        <f>S17</f>
        <v>439</v>
      </c>
      <c r="Q29" s="91"/>
      <c r="R29" s="91"/>
      <c r="S29" s="90"/>
      <c r="T29" s="90"/>
      <c r="U29" s="3"/>
      <c r="V29" s="3"/>
      <c r="W29" s="3"/>
      <c r="X29" s="3"/>
    </row>
    <row r="30" spans="2:24" ht="12.75">
      <c r="B30" s="3"/>
      <c r="K30" s="91" t="s">
        <v>187</v>
      </c>
      <c r="L30" s="91"/>
      <c r="M30" s="91"/>
      <c r="N30" s="90"/>
      <c r="O30" s="445" t="s">
        <v>531</v>
      </c>
      <c r="P30" s="445"/>
      <c r="Q30" s="445"/>
      <c r="R30" s="445"/>
      <c r="S30" s="445"/>
      <c r="T30" s="445"/>
      <c r="U30" s="3"/>
      <c r="V30" s="3"/>
      <c r="W30" s="3"/>
      <c r="X30" s="3"/>
    </row>
    <row r="31" spans="2:24" ht="12.75">
      <c r="B31" s="3"/>
      <c r="K31" s="91"/>
      <c r="L31" s="91"/>
      <c r="M31" s="91"/>
      <c r="N31" s="90"/>
      <c r="O31" s="90"/>
      <c r="P31" s="90"/>
      <c r="Q31" s="90"/>
      <c r="R31" s="90"/>
      <c r="S31" s="90"/>
      <c r="T31" s="90"/>
      <c r="U31" s="3"/>
      <c r="V31" s="3"/>
      <c r="W31" s="3"/>
      <c r="X31" s="3"/>
    </row>
    <row r="32" spans="2:24" ht="12.75">
      <c r="B32" s="3"/>
      <c r="C32" s="3"/>
      <c r="D32" s="3"/>
      <c r="E32" s="3"/>
      <c r="F32" s="5"/>
      <c r="G32" s="3"/>
      <c r="H32" s="3"/>
      <c r="I32" s="3"/>
      <c r="J32" s="3"/>
      <c r="K32" s="453" t="s">
        <v>227</v>
      </c>
      <c r="L32" s="453"/>
      <c r="M32" s="453"/>
      <c r="N32" s="453"/>
      <c r="O32" s="453"/>
      <c r="P32" s="453"/>
      <c r="Q32" s="453"/>
      <c r="R32" s="453"/>
      <c r="S32" s="90"/>
      <c r="T32" s="90"/>
      <c r="U32" s="3"/>
      <c r="V32" s="3"/>
      <c r="W32" s="3"/>
      <c r="X32" s="3"/>
    </row>
    <row r="33" spans="2:24" ht="12.75">
      <c r="B33" s="3"/>
      <c r="C33" s="3"/>
      <c r="D33" s="3"/>
      <c r="E33" s="3"/>
      <c r="F33" s="5"/>
      <c r="G33" s="3"/>
      <c r="H33" s="3"/>
      <c r="I33" s="3"/>
      <c r="J33" s="3"/>
      <c r="K33" s="453" t="s">
        <v>513</v>
      </c>
      <c r="L33" s="453"/>
      <c r="M33" s="453"/>
      <c r="N33" s="453"/>
      <c r="O33" s="453"/>
      <c r="P33" s="453"/>
      <c r="Q33" s="453"/>
      <c r="R33" s="453"/>
      <c r="S33" s="90"/>
      <c r="T33" s="90"/>
      <c r="U33" s="3"/>
      <c r="V33" s="3"/>
      <c r="W33" s="3"/>
      <c r="X33" s="3"/>
    </row>
    <row r="34" spans="2:24" ht="12.75">
      <c r="B34" s="3"/>
      <c r="C34" s="3"/>
      <c r="D34" s="3"/>
      <c r="E34" s="438"/>
      <c r="F34" s="438"/>
      <c r="G34" s="438"/>
      <c r="H34" s="438"/>
      <c r="I34" s="438"/>
      <c r="J34" s="438"/>
      <c r="K34" s="14"/>
      <c r="L34" s="14"/>
      <c r="M34" s="14"/>
      <c r="T34" s="3"/>
      <c r="U34" s="3"/>
      <c r="V34" s="3"/>
      <c r="W34" s="3"/>
      <c r="X34" s="3"/>
    </row>
    <row r="35" spans="2:24" ht="12.75">
      <c r="B35" s="3"/>
      <c r="C35" s="3"/>
      <c r="D35" s="3"/>
      <c r="E35" s="438"/>
      <c r="F35" s="438"/>
      <c r="G35" s="438"/>
      <c r="H35" s="438"/>
      <c r="I35" s="438"/>
      <c r="J35" s="438"/>
      <c r="K35" s="14"/>
      <c r="L35" s="14"/>
      <c r="M35" s="14"/>
      <c r="T35" s="3"/>
      <c r="U35" s="3"/>
      <c r="V35" s="3"/>
      <c r="W35" s="3"/>
      <c r="X35" s="3"/>
    </row>
    <row r="36" spans="2:24" ht="12.75">
      <c r="B36" s="3"/>
      <c r="C36" s="3"/>
      <c r="D36" s="3"/>
      <c r="E36" s="3"/>
      <c r="F36" s="5"/>
      <c r="G36" s="3"/>
      <c r="H36" s="3"/>
      <c r="I36" s="3"/>
      <c r="J36" s="3"/>
      <c r="K36" s="3"/>
      <c r="L36" s="3"/>
      <c r="M36" s="3"/>
      <c r="N36" s="3"/>
      <c r="O36" s="3"/>
      <c r="P36" s="3"/>
      <c r="Q36" s="3"/>
      <c r="R36" s="3"/>
      <c r="S36" s="3"/>
      <c r="T36" s="3"/>
      <c r="U36" s="3"/>
      <c r="V36" s="3"/>
      <c r="W36" s="3"/>
      <c r="X36" s="3"/>
    </row>
  </sheetData>
  <mergeCells count="17">
    <mergeCell ref="Q1:R1"/>
    <mergeCell ref="Q2:R2"/>
    <mergeCell ref="Q3:R3"/>
    <mergeCell ref="C11:D11"/>
    <mergeCell ref="Q11:R11"/>
    <mergeCell ref="Q9:R9"/>
    <mergeCell ref="B6:S6"/>
    <mergeCell ref="K25:S25"/>
    <mergeCell ref="E34:J34"/>
    <mergeCell ref="K32:R32"/>
    <mergeCell ref="E35:J35"/>
    <mergeCell ref="K33:R33"/>
    <mergeCell ref="K28:R28"/>
    <mergeCell ref="K27:R27"/>
    <mergeCell ref="O30:T30"/>
    <mergeCell ref="K26:P26"/>
    <mergeCell ref="M29:O29"/>
  </mergeCells>
  <printOptions/>
  <pageMargins left="0.7874015748031497" right="0.15748031496062992" top="0.984251968503937" bottom="0.984251968503937" header="0.5118110236220472" footer="0.5118110236220472"/>
  <pageSetup horizontalDpi="300" verticalDpi="300" orientation="landscape" paperSize="8" r:id="rId3"/>
  <legacyDrawing r:id="rId2"/>
</worksheet>
</file>

<file path=xl/worksheets/sheet2.xml><?xml version="1.0" encoding="utf-8"?>
<worksheet xmlns="http://schemas.openxmlformats.org/spreadsheetml/2006/main" xmlns:r="http://schemas.openxmlformats.org/officeDocument/2006/relationships">
  <dimension ref="A1:AJ44"/>
  <sheetViews>
    <sheetView workbookViewId="0" topLeftCell="A4">
      <selection activeCell="P17" sqref="P17:P25"/>
    </sheetView>
  </sheetViews>
  <sheetFormatPr defaultColWidth="9.140625" defaultRowHeight="12.75"/>
  <cols>
    <col min="1" max="1" width="3.28125" style="57" customWidth="1"/>
    <col min="2" max="2" width="29.7109375" style="57" customWidth="1"/>
    <col min="3" max="3" width="5.421875" style="59" bestFit="1" customWidth="1"/>
    <col min="4" max="4" width="15.57421875" style="59" bestFit="1" customWidth="1"/>
    <col min="5" max="5" width="6.7109375" style="59" bestFit="1" customWidth="1"/>
    <col min="6" max="6" width="12.140625" style="57" bestFit="1" customWidth="1"/>
    <col min="7" max="7" width="24.28125" style="57" customWidth="1"/>
    <col min="8" max="8" width="12.421875" style="57" hidden="1" customWidth="1"/>
    <col min="9" max="9" width="0.2890625" style="57" hidden="1" customWidth="1"/>
    <col min="10" max="10" width="12.140625" style="57" hidden="1" customWidth="1"/>
    <col min="11" max="15" width="10.421875" style="57" hidden="1" customWidth="1"/>
    <col min="16" max="16" width="10.140625" style="57" customWidth="1"/>
    <col min="17" max="17" width="16.57421875" style="57" hidden="1" customWidth="1"/>
    <col min="18" max="18" width="13.7109375" style="57" customWidth="1"/>
    <col min="19" max="19" width="16.00390625" style="57" hidden="1" customWidth="1"/>
    <col min="20" max="20" width="16.00390625" style="57" customWidth="1"/>
    <col min="21" max="21" width="0.42578125" style="57" customWidth="1"/>
    <col min="22" max="22" width="12.57421875" style="57" customWidth="1"/>
    <col min="23" max="23" width="0" style="57" hidden="1" customWidth="1"/>
    <col min="24" max="24" width="10.140625" style="57" hidden="1" customWidth="1"/>
    <col min="25" max="26" width="10.140625" style="57" customWidth="1"/>
    <col min="27" max="27" width="12.57421875" style="57" hidden="1" customWidth="1"/>
    <col min="28" max="28" width="14.7109375" style="57" customWidth="1"/>
    <col min="29" max="16384" width="9.140625" style="57" customWidth="1"/>
  </cols>
  <sheetData>
    <row r="1" ht="12">
      <c r="E1" s="225"/>
    </row>
    <row r="3" spans="1:29" ht="15">
      <c r="A3" s="4" t="s">
        <v>0</v>
      </c>
      <c r="B3" s="4"/>
      <c r="C3" s="21"/>
      <c r="D3" s="21"/>
      <c r="E3" s="21"/>
      <c r="F3" s="4"/>
      <c r="G3" s="26"/>
      <c r="H3" s="26"/>
      <c r="I3" s="26"/>
      <c r="J3" s="26"/>
      <c r="K3" s="26"/>
      <c r="L3" s="26"/>
      <c r="M3" s="26"/>
      <c r="N3" s="26"/>
      <c r="O3" s="26"/>
      <c r="P3" s="26"/>
      <c r="Q3" s="26"/>
      <c r="R3" s="26"/>
      <c r="S3" s="26"/>
      <c r="T3" s="26"/>
      <c r="U3" s="26"/>
      <c r="V3" s="26"/>
      <c r="W3" s="421" t="s">
        <v>2</v>
      </c>
      <c r="X3" s="421"/>
      <c r="Y3" s="429" t="s">
        <v>2</v>
      </c>
      <c r="Z3" s="429"/>
      <c r="AA3" s="63"/>
      <c r="AB3" s="26"/>
      <c r="AC3" s="26"/>
    </row>
    <row r="4" spans="1:29" ht="15">
      <c r="A4" s="26" t="s">
        <v>334</v>
      </c>
      <c r="B4" s="26"/>
      <c r="C4" s="66"/>
      <c r="D4" s="66"/>
      <c r="E4" s="66"/>
      <c r="F4" s="26"/>
      <c r="G4" s="26"/>
      <c r="H4" s="26"/>
      <c r="I4" s="26"/>
      <c r="J4" s="26"/>
      <c r="K4" s="26"/>
      <c r="L4" s="26"/>
      <c r="M4" s="26"/>
      <c r="N4" s="26"/>
      <c r="O4" s="26"/>
      <c r="P4" s="26"/>
      <c r="Q4" s="26"/>
      <c r="R4" s="26"/>
      <c r="S4" s="26"/>
      <c r="T4" s="26"/>
      <c r="U4" s="26"/>
      <c r="V4" s="26"/>
      <c r="W4" s="421" t="s">
        <v>3</v>
      </c>
      <c r="X4" s="421"/>
      <c r="Y4" s="429" t="s">
        <v>3</v>
      </c>
      <c r="Z4" s="429"/>
      <c r="AA4" s="63"/>
      <c r="AB4" s="26"/>
      <c r="AC4" s="26"/>
    </row>
    <row r="5" spans="1:29" ht="15">
      <c r="A5" s="26"/>
      <c r="B5" s="26"/>
      <c r="C5" s="66"/>
      <c r="D5" s="66"/>
      <c r="E5" s="66"/>
      <c r="F5" s="26"/>
      <c r="G5" s="26"/>
      <c r="H5" s="26"/>
      <c r="I5" s="26"/>
      <c r="J5" s="26"/>
      <c r="K5" s="26"/>
      <c r="L5" s="26"/>
      <c r="M5" s="26"/>
      <c r="N5" s="26"/>
      <c r="O5" s="26"/>
      <c r="P5" s="26"/>
      <c r="Q5" s="26"/>
      <c r="R5" s="26"/>
      <c r="S5" s="26"/>
      <c r="T5" s="26"/>
      <c r="U5" s="26"/>
      <c r="V5" s="26"/>
      <c r="W5" s="421" t="s">
        <v>247</v>
      </c>
      <c r="X5" s="421"/>
      <c r="Y5" s="429" t="s">
        <v>247</v>
      </c>
      <c r="Z5" s="429"/>
      <c r="AA5" s="63"/>
      <c r="AB5" s="26"/>
      <c r="AC5" s="26"/>
    </row>
    <row r="6" spans="1:29" ht="12.75">
      <c r="A6" s="26"/>
      <c r="B6" s="26"/>
      <c r="C6" s="66"/>
      <c r="D6" s="66"/>
      <c r="E6" s="66"/>
      <c r="F6" s="26"/>
      <c r="G6" s="26"/>
      <c r="H6" s="26"/>
      <c r="I6" s="26"/>
      <c r="J6" s="26"/>
      <c r="K6" s="26"/>
      <c r="L6" s="26"/>
      <c r="M6" s="26"/>
      <c r="N6" s="26"/>
      <c r="O6" s="26"/>
      <c r="P6" s="26"/>
      <c r="Q6" s="26"/>
      <c r="R6" s="26"/>
      <c r="S6" s="26"/>
      <c r="T6" s="26"/>
      <c r="U6" s="26"/>
      <c r="V6" s="26"/>
      <c r="W6" s="26"/>
      <c r="X6" s="26"/>
      <c r="Y6" s="26"/>
      <c r="Z6" s="26"/>
      <c r="AA6" s="26"/>
      <c r="AB6" s="26"/>
      <c r="AC6" s="26"/>
    </row>
    <row r="7" spans="1:29" ht="12.75">
      <c r="A7" s="26"/>
      <c r="B7" s="26"/>
      <c r="C7" s="66"/>
      <c r="D7" s="66"/>
      <c r="E7" s="66"/>
      <c r="F7" s="26"/>
      <c r="G7" s="26"/>
      <c r="H7" s="26"/>
      <c r="I7" s="26"/>
      <c r="J7" s="26"/>
      <c r="K7" s="26"/>
      <c r="L7" s="26"/>
      <c r="M7" s="26"/>
      <c r="N7" s="26"/>
      <c r="O7" s="26"/>
      <c r="P7" s="26"/>
      <c r="Q7" s="26"/>
      <c r="R7" s="26"/>
      <c r="S7" s="26"/>
      <c r="T7" s="26"/>
      <c r="U7" s="26"/>
      <c r="V7" s="26"/>
      <c r="W7" s="26"/>
      <c r="X7" s="26"/>
      <c r="Y7" s="26"/>
      <c r="Z7" s="26"/>
      <c r="AA7" s="26"/>
      <c r="AB7" s="26"/>
      <c r="AC7" s="26"/>
    </row>
    <row r="8" spans="1:29" ht="12.75">
      <c r="A8" s="422" t="s">
        <v>1</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26"/>
      <c r="AC8" s="26"/>
    </row>
    <row r="9" spans="1:29" ht="12.75">
      <c r="A9" s="26"/>
      <c r="B9" s="26"/>
      <c r="C9" s="66"/>
      <c r="D9" s="66"/>
      <c r="E9" s="66"/>
      <c r="F9" s="26"/>
      <c r="G9" s="26"/>
      <c r="H9" s="26"/>
      <c r="I9" s="26"/>
      <c r="J9" s="26"/>
      <c r="K9" s="26"/>
      <c r="L9" s="26"/>
      <c r="M9" s="26"/>
      <c r="N9" s="26"/>
      <c r="O9" s="26"/>
      <c r="P9" s="26"/>
      <c r="Q9" s="26"/>
      <c r="R9" s="26"/>
      <c r="S9" s="26"/>
      <c r="T9" s="26"/>
      <c r="U9" s="26"/>
      <c r="V9" s="26"/>
      <c r="W9" s="26"/>
      <c r="X9" s="26"/>
      <c r="Y9" s="26"/>
      <c r="Z9" s="26"/>
      <c r="AA9" s="26"/>
      <c r="AB9" s="26"/>
      <c r="AC9" s="26"/>
    </row>
    <row r="10" spans="1:29" ht="12.75">
      <c r="A10" s="26"/>
      <c r="B10" s="26"/>
      <c r="C10" s="66"/>
      <c r="D10" s="66"/>
      <c r="E10" s="66"/>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1:29" ht="12.75">
      <c r="A11" s="26"/>
      <c r="B11" s="26"/>
      <c r="C11" s="66"/>
      <c r="D11" s="66"/>
      <c r="E11" s="66"/>
      <c r="F11" s="26"/>
      <c r="G11" s="26"/>
      <c r="H11" s="26"/>
      <c r="I11" s="26"/>
      <c r="J11" s="26"/>
      <c r="K11" s="26"/>
      <c r="L11" s="26"/>
      <c r="M11" s="26"/>
      <c r="N11" s="26"/>
      <c r="O11" s="26"/>
      <c r="P11" s="26"/>
      <c r="Q11" s="26"/>
      <c r="R11" s="26"/>
      <c r="S11" s="26"/>
      <c r="T11" s="26"/>
      <c r="U11" s="26"/>
      <c r="V11" s="26"/>
      <c r="W11" s="425"/>
      <c r="X11" s="425"/>
      <c r="Y11" s="138"/>
      <c r="Z11" s="138"/>
      <c r="AA11" s="26"/>
      <c r="AB11" s="26"/>
      <c r="AC11" s="26"/>
    </row>
    <row r="12" spans="1:29" ht="13.5" thickBot="1">
      <c r="A12" s="26"/>
      <c r="B12" s="26" t="s">
        <v>509</v>
      </c>
      <c r="C12" s="66"/>
      <c r="D12" s="66"/>
      <c r="E12" s="66"/>
      <c r="F12" s="26"/>
      <c r="G12" s="26"/>
      <c r="H12" s="81"/>
      <c r="I12" s="81"/>
      <c r="J12" s="81"/>
      <c r="K12" s="81"/>
      <c r="L12" s="81"/>
      <c r="M12" s="81"/>
      <c r="N12" s="81"/>
      <c r="O12" s="81"/>
      <c r="P12" s="81"/>
      <c r="Q12" s="81"/>
      <c r="R12" s="81"/>
      <c r="S12" s="66"/>
      <c r="T12" s="66"/>
      <c r="U12" s="66" t="s">
        <v>385</v>
      </c>
      <c r="V12" s="26" t="s">
        <v>493</v>
      </c>
      <c r="W12" s="26"/>
      <c r="X12" s="26"/>
      <c r="Y12" s="26"/>
      <c r="Z12" s="26"/>
      <c r="AA12" s="26"/>
      <c r="AB12" s="63"/>
      <c r="AC12" s="63"/>
    </row>
    <row r="13" spans="1:29" s="39" customFormat="1" ht="13.5" customHeight="1" thickBot="1">
      <c r="A13" s="156" t="s">
        <v>141</v>
      </c>
      <c r="B13" s="426" t="s">
        <v>5</v>
      </c>
      <c r="C13" s="427"/>
      <c r="D13" s="427"/>
      <c r="E13" s="427"/>
      <c r="F13" s="428"/>
      <c r="G13" s="153" t="s">
        <v>8</v>
      </c>
      <c r="H13" s="72" t="s">
        <v>17</v>
      </c>
      <c r="I13" s="72" t="s">
        <v>17</v>
      </c>
      <c r="J13" s="135" t="s">
        <v>167</v>
      </c>
      <c r="K13" s="135" t="s">
        <v>167</v>
      </c>
      <c r="L13" s="135" t="s">
        <v>169</v>
      </c>
      <c r="M13" s="135" t="s">
        <v>318</v>
      </c>
      <c r="N13" s="135" t="s">
        <v>167</v>
      </c>
      <c r="O13" s="135" t="s">
        <v>167</v>
      </c>
      <c r="P13" s="135" t="s">
        <v>167</v>
      </c>
      <c r="Q13" s="149" t="s">
        <v>18</v>
      </c>
      <c r="R13" s="149" t="s">
        <v>18</v>
      </c>
      <c r="S13" s="149" t="s">
        <v>21</v>
      </c>
      <c r="T13" s="149" t="s">
        <v>21</v>
      </c>
      <c r="U13" s="150" t="s">
        <v>22</v>
      </c>
      <c r="V13" s="150" t="s">
        <v>22</v>
      </c>
      <c r="W13" s="426" t="s">
        <v>24</v>
      </c>
      <c r="X13" s="428"/>
      <c r="Y13" s="426" t="s">
        <v>24</v>
      </c>
      <c r="Z13" s="428"/>
      <c r="AA13" s="152" t="s">
        <v>22</v>
      </c>
      <c r="AB13" s="152" t="s">
        <v>22</v>
      </c>
      <c r="AC13" s="89"/>
    </row>
    <row r="14" spans="1:29" s="39" customFormat="1" ht="12.75">
      <c r="A14" s="158" t="s">
        <v>142</v>
      </c>
      <c r="B14" s="149" t="s">
        <v>6</v>
      </c>
      <c r="C14" s="149"/>
      <c r="D14" s="149"/>
      <c r="E14" s="149"/>
      <c r="F14" s="149" t="s">
        <v>7</v>
      </c>
      <c r="G14" s="154"/>
      <c r="H14" s="73"/>
      <c r="I14" s="73"/>
      <c r="J14" s="162" t="s">
        <v>170</v>
      </c>
      <c r="K14" s="162" t="s">
        <v>251</v>
      </c>
      <c r="L14" s="162" t="s">
        <v>316</v>
      </c>
      <c r="M14" s="162" t="s">
        <v>168</v>
      </c>
      <c r="N14" s="162" t="s">
        <v>168</v>
      </c>
      <c r="O14" s="162" t="s">
        <v>168</v>
      </c>
      <c r="P14" s="162"/>
      <c r="Q14" s="136" t="s">
        <v>19</v>
      </c>
      <c r="R14" s="136" t="s">
        <v>19</v>
      </c>
      <c r="S14" s="136" t="s">
        <v>20</v>
      </c>
      <c r="T14" s="136" t="s">
        <v>20</v>
      </c>
      <c r="U14" s="242" t="s">
        <v>23</v>
      </c>
      <c r="V14" s="242" t="s">
        <v>23</v>
      </c>
      <c r="W14" s="245" t="s">
        <v>25</v>
      </c>
      <c r="X14" s="318" t="s">
        <v>26</v>
      </c>
      <c r="Y14" s="245" t="s">
        <v>25</v>
      </c>
      <c r="Z14" s="245" t="s">
        <v>26</v>
      </c>
      <c r="AA14" s="165" t="s">
        <v>27</v>
      </c>
      <c r="AB14" s="165" t="s">
        <v>27</v>
      </c>
      <c r="AC14" s="89"/>
    </row>
    <row r="15" spans="1:29" s="39" customFormat="1" ht="13.5" thickBot="1">
      <c r="A15" s="166"/>
      <c r="B15" s="74"/>
      <c r="C15" s="137" t="s">
        <v>335</v>
      </c>
      <c r="D15" s="137" t="s">
        <v>336</v>
      </c>
      <c r="E15" s="137" t="s">
        <v>364</v>
      </c>
      <c r="F15" s="74"/>
      <c r="G15" s="155"/>
      <c r="H15" s="74"/>
      <c r="I15" s="74"/>
      <c r="J15" s="168">
        <v>2005</v>
      </c>
      <c r="K15" s="168">
        <v>2004</v>
      </c>
      <c r="L15" s="168" t="s">
        <v>317</v>
      </c>
      <c r="M15" s="168"/>
      <c r="N15" s="168">
        <v>2005</v>
      </c>
      <c r="O15" s="168">
        <v>2005</v>
      </c>
      <c r="P15" s="168"/>
      <c r="Q15" s="137"/>
      <c r="R15" s="137"/>
      <c r="S15" s="74"/>
      <c r="T15" s="74"/>
      <c r="U15" s="169"/>
      <c r="V15" s="169"/>
      <c r="W15" s="170"/>
      <c r="X15" s="310"/>
      <c r="Y15" s="170"/>
      <c r="Z15" s="170"/>
      <c r="AA15" s="171"/>
      <c r="AB15" s="170"/>
      <c r="AC15" s="89"/>
    </row>
    <row r="16" spans="1:29" s="39" customFormat="1" ht="12.75">
      <c r="A16" s="89"/>
      <c r="B16" s="89"/>
      <c r="C16" s="172"/>
      <c r="D16" s="172"/>
      <c r="E16" s="172"/>
      <c r="F16" s="89"/>
      <c r="G16" s="89"/>
      <c r="H16" s="89"/>
      <c r="I16" s="89"/>
      <c r="J16" s="89"/>
      <c r="K16" s="89"/>
      <c r="L16" s="89"/>
      <c r="M16" s="89"/>
      <c r="N16" s="89"/>
      <c r="O16" s="89"/>
      <c r="P16" s="89"/>
      <c r="Q16" s="81"/>
      <c r="R16" s="81"/>
      <c r="S16" s="66"/>
      <c r="T16" s="66"/>
      <c r="U16" s="66"/>
      <c r="V16" s="66"/>
      <c r="W16" s="26"/>
      <c r="X16" s="89"/>
      <c r="Y16" s="89"/>
      <c r="Z16" s="89"/>
      <c r="AA16" s="89"/>
      <c r="AB16" s="89"/>
      <c r="AC16" s="89"/>
    </row>
    <row r="17" spans="1:29" ht="12.75">
      <c r="A17" s="26">
        <v>25</v>
      </c>
      <c r="B17" s="139" t="s">
        <v>349</v>
      </c>
      <c r="C17" s="66" t="s">
        <v>339</v>
      </c>
      <c r="D17" s="66" t="s">
        <v>340</v>
      </c>
      <c r="E17" s="66">
        <v>1</v>
      </c>
      <c r="F17" s="26" t="s">
        <v>33</v>
      </c>
      <c r="G17" s="26" t="s">
        <v>78</v>
      </c>
      <c r="H17" s="81">
        <v>4023000</v>
      </c>
      <c r="I17" s="66">
        <f>H17*1.0829</f>
        <v>4356506.7</v>
      </c>
      <c r="J17" s="81">
        <v>13158000</v>
      </c>
      <c r="K17" s="81">
        <v>11057000</v>
      </c>
      <c r="L17" s="81">
        <f>SUM(J17-K17)</f>
        <v>2101000</v>
      </c>
      <c r="M17" s="81">
        <f>L17*45%</f>
        <v>945450</v>
      </c>
      <c r="N17" s="81">
        <f aca="true" t="shared" si="0" ref="N17:N24">SUM(K17,M17)</f>
        <v>12002450</v>
      </c>
      <c r="O17" s="81">
        <f>ROUNDUP(N17,-3)</f>
        <v>12003000</v>
      </c>
      <c r="P17" s="81">
        <v>1465</v>
      </c>
      <c r="Q17" s="81">
        <f>O17*30%</f>
        <v>3600900</v>
      </c>
      <c r="R17" s="66">
        <f>P17*30%</f>
        <v>439.5</v>
      </c>
      <c r="S17" s="81">
        <f>(O17+Q17)*15%</f>
        <v>2340585</v>
      </c>
      <c r="T17" s="66">
        <f>(P17+R17)*15%</f>
        <v>285.675</v>
      </c>
      <c r="U17" s="340">
        <f>SUM(O17:S17)</f>
        <v>17946389.5</v>
      </c>
      <c r="V17" s="81">
        <f aca="true" t="shared" si="1" ref="V17:V25">P17+R17+T17</f>
        <v>2190.175</v>
      </c>
      <c r="W17" s="341">
        <v>0.25</v>
      </c>
      <c r="X17" s="340">
        <f>U17*W17</f>
        <v>4486597.375</v>
      </c>
      <c r="Y17" s="342">
        <v>0.25</v>
      </c>
      <c r="Z17" s="343">
        <f aca="true" t="shared" si="2" ref="Z17:Z25">V17*Y17</f>
        <v>547.54375</v>
      </c>
      <c r="AA17" s="340">
        <f>SUM(U17,X17)</f>
        <v>22432986.875</v>
      </c>
      <c r="AB17" s="81">
        <f>V17+Z17</f>
        <v>2737.71875</v>
      </c>
      <c r="AC17" s="26"/>
    </row>
    <row r="18" spans="1:29" ht="12.75">
      <c r="A18" s="26">
        <v>27</v>
      </c>
      <c r="B18" s="139" t="s">
        <v>349</v>
      </c>
      <c r="C18" s="66" t="s">
        <v>339</v>
      </c>
      <c r="D18" s="66" t="s">
        <v>340</v>
      </c>
      <c r="E18" s="66">
        <v>1</v>
      </c>
      <c r="F18" s="26"/>
      <c r="G18" s="26" t="s">
        <v>79</v>
      </c>
      <c r="H18" s="81">
        <v>3089000</v>
      </c>
      <c r="I18" s="66">
        <f>H18*1.0829</f>
        <v>3345078.1</v>
      </c>
      <c r="J18" s="81">
        <v>11784000</v>
      </c>
      <c r="K18" s="81">
        <v>9902000</v>
      </c>
      <c r="L18" s="81">
        <f>SUM(J18-K18)</f>
        <v>1882000</v>
      </c>
      <c r="M18" s="81">
        <f>L18*45%</f>
        <v>846900</v>
      </c>
      <c r="N18" s="81">
        <f t="shared" si="0"/>
        <v>10748900</v>
      </c>
      <c r="O18" s="81">
        <f>ROUNDUP(N18,-3)</f>
        <v>10749000</v>
      </c>
      <c r="P18" s="81">
        <v>1465</v>
      </c>
      <c r="Q18" s="81"/>
      <c r="R18" s="81"/>
      <c r="S18" s="81"/>
      <c r="T18" s="344"/>
      <c r="U18" s="340">
        <f aca="true" t="shared" si="3" ref="U18:U24">SUM(O18:S18)</f>
        <v>10750465</v>
      </c>
      <c r="V18" s="81">
        <f t="shared" si="1"/>
        <v>1465</v>
      </c>
      <c r="W18" s="341">
        <v>0.1</v>
      </c>
      <c r="X18" s="340">
        <f aca="true" t="shared" si="4" ref="X18:X24">U18*W18</f>
        <v>1075046.5</v>
      </c>
      <c r="Y18" s="342">
        <v>0.15</v>
      </c>
      <c r="Z18" s="343">
        <f t="shared" si="2"/>
        <v>219.75</v>
      </c>
      <c r="AA18" s="340">
        <f>SUM(U18,X18)</f>
        <v>11825511.5</v>
      </c>
      <c r="AB18" s="81">
        <f aca="true" t="shared" si="5" ref="AB18:AB25">V18+Z18</f>
        <v>1684.75</v>
      </c>
      <c r="AC18" s="26"/>
    </row>
    <row r="19" spans="1:29" ht="12.75">
      <c r="A19" s="26">
        <v>28</v>
      </c>
      <c r="B19" s="139" t="s">
        <v>373</v>
      </c>
      <c r="C19" s="66" t="s">
        <v>339</v>
      </c>
      <c r="D19" s="66" t="s">
        <v>340</v>
      </c>
      <c r="E19" s="66">
        <v>3</v>
      </c>
      <c r="F19" s="26"/>
      <c r="G19" s="26" t="s">
        <v>80</v>
      </c>
      <c r="H19" s="81">
        <v>2624000</v>
      </c>
      <c r="I19" s="66">
        <f>H19*1.0829</f>
        <v>2841529.6</v>
      </c>
      <c r="J19" s="81">
        <v>9569000</v>
      </c>
      <c r="K19" s="81">
        <v>8041000</v>
      </c>
      <c r="L19" s="81">
        <f>SUM(J19-K19)</f>
        <v>1528000</v>
      </c>
      <c r="M19" s="81">
        <f>L19*45%</f>
        <v>687600</v>
      </c>
      <c r="N19" s="81">
        <f t="shared" si="0"/>
        <v>8728600</v>
      </c>
      <c r="O19" s="81">
        <f>ROUNDUP(N19,-3)</f>
        <v>8729000</v>
      </c>
      <c r="P19" s="81">
        <v>1190</v>
      </c>
      <c r="Q19" s="81"/>
      <c r="R19" s="81"/>
      <c r="S19" s="81"/>
      <c r="T19" s="344"/>
      <c r="U19" s="340">
        <f t="shared" si="3"/>
        <v>8730190</v>
      </c>
      <c r="V19" s="81">
        <f t="shared" si="1"/>
        <v>1190</v>
      </c>
      <c r="W19" s="341">
        <v>0.2</v>
      </c>
      <c r="X19" s="340">
        <f t="shared" si="4"/>
        <v>1746038</v>
      </c>
      <c r="Y19" s="342">
        <v>0.2</v>
      </c>
      <c r="Z19" s="343">
        <f t="shared" si="2"/>
        <v>238</v>
      </c>
      <c r="AA19" s="340">
        <f>SUM(U19,X19:X19)</f>
        <v>10476228</v>
      </c>
      <c r="AB19" s="81">
        <f t="shared" si="5"/>
        <v>1428</v>
      </c>
      <c r="AC19" s="26"/>
    </row>
    <row r="20" spans="1:29" ht="12.75">
      <c r="A20" s="26">
        <v>31</v>
      </c>
      <c r="B20" s="139" t="s">
        <v>373</v>
      </c>
      <c r="C20" s="66" t="s">
        <v>339</v>
      </c>
      <c r="D20" s="66" t="s">
        <v>344</v>
      </c>
      <c r="E20" s="66">
        <v>3</v>
      </c>
      <c r="F20" s="26"/>
      <c r="G20" s="26" t="s">
        <v>521</v>
      </c>
      <c r="H20" s="26">
        <v>4023000</v>
      </c>
      <c r="I20" s="66">
        <f>H20*1.0829</f>
        <v>4356506.7</v>
      </c>
      <c r="J20" s="81">
        <v>6208000</v>
      </c>
      <c r="K20" s="81">
        <v>5216000</v>
      </c>
      <c r="L20" s="81">
        <f>SUM(J20-K20)</f>
        <v>992000</v>
      </c>
      <c r="M20" s="81">
        <f>L20*45%</f>
        <v>446400</v>
      </c>
      <c r="N20" s="81">
        <f t="shared" si="0"/>
        <v>5662400</v>
      </c>
      <c r="O20" s="81">
        <v>5663000</v>
      </c>
      <c r="P20" s="81">
        <v>693</v>
      </c>
      <c r="Q20" s="26"/>
      <c r="R20" s="26"/>
      <c r="S20" s="81"/>
      <c r="T20" s="344"/>
      <c r="U20" s="340">
        <f>SUM(O20:S20)</f>
        <v>5663693</v>
      </c>
      <c r="V20" s="81">
        <f>P20+R20+T20</f>
        <v>693</v>
      </c>
      <c r="W20" s="340"/>
      <c r="X20" s="340">
        <f>U20*W20</f>
        <v>0</v>
      </c>
      <c r="Y20" s="342">
        <v>0.15</v>
      </c>
      <c r="Z20" s="343">
        <f t="shared" si="2"/>
        <v>103.95</v>
      </c>
      <c r="AA20" s="340">
        <f aca="true" t="shared" si="6" ref="AA20:AA25">SUM(U20,X20)</f>
        <v>5663693</v>
      </c>
      <c r="AB20" s="81">
        <f>V20+Z20</f>
        <v>796.95</v>
      </c>
      <c r="AC20" s="26"/>
    </row>
    <row r="21" spans="1:29" ht="12.75">
      <c r="A21" s="26">
        <v>32</v>
      </c>
      <c r="B21" s="138" t="s">
        <v>373</v>
      </c>
      <c r="C21" s="66" t="s">
        <v>339</v>
      </c>
      <c r="D21" s="66" t="s">
        <v>344</v>
      </c>
      <c r="E21" s="66">
        <v>3</v>
      </c>
      <c r="F21" s="26"/>
      <c r="G21" s="26" t="s">
        <v>217</v>
      </c>
      <c r="H21" s="66">
        <v>4488000</v>
      </c>
      <c r="I21" s="81">
        <v>3650000</v>
      </c>
      <c r="J21" s="81">
        <v>4775000</v>
      </c>
      <c r="K21" s="81">
        <v>4046000</v>
      </c>
      <c r="L21" s="81">
        <f>SUM(J21-K21)</f>
        <v>729000</v>
      </c>
      <c r="M21" s="81">
        <f>L21*45%</f>
        <v>328050</v>
      </c>
      <c r="N21" s="81">
        <f>SUM(K21,M21)</f>
        <v>4374050</v>
      </c>
      <c r="O21" s="81">
        <v>5663000</v>
      </c>
      <c r="P21" s="81">
        <v>693</v>
      </c>
      <c r="Q21" s="81"/>
      <c r="R21" s="81"/>
      <c r="S21" s="81"/>
      <c r="T21" s="344"/>
      <c r="U21" s="340">
        <f>SUM(O21:S21)</f>
        <v>5663693</v>
      </c>
      <c r="V21" s="81">
        <f>P21+R21+T21</f>
        <v>693</v>
      </c>
      <c r="W21" s="341"/>
      <c r="X21" s="340">
        <f>U21*W21</f>
        <v>0</v>
      </c>
      <c r="Y21" s="340"/>
      <c r="Z21" s="344"/>
      <c r="AA21" s="340">
        <f t="shared" si="6"/>
        <v>5663693</v>
      </c>
      <c r="AB21" s="81">
        <f>V21+Z21</f>
        <v>693</v>
      </c>
      <c r="AC21" s="26"/>
    </row>
    <row r="22" spans="1:29" ht="12.75">
      <c r="A22" s="26">
        <v>33</v>
      </c>
      <c r="B22" s="138" t="s">
        <v>373</v>
      </c>
      <c r="C22" s="66" t="s">
        <v>339</v>
      </c>
      <c r="D22" s="66" t="s">
        <v>344</v>
      </c>
      <c r="E22" s="66">
        <v>3</v>
      </c>
      <c r="F22" s="26"/>
      <c r="G22" s="26" t="s">
        <v>217</v>
      </c>
      <c r="H22" s="66"/>
      <c r="I22" s="81"/>
      <c r="J22" s="81"/>
      <c r="K22" s="81"/>
      <c r="L22" s="81"/>
      <c r="M22" s="81"/>
      <c r="N22" s="81"/>
      <c r="O22" s="81">
        <v>5663000</v>
      </c>
      <c r="P22" s="81">
        <v>693</v>
      </c>
      <c r="Q22" s="81"/>
      <c r="R22" s="81"/>
      <c r="S22" s="81"/>
      <c r="T22" s="344"/>
      <c r="U22" s="340">
        <f>SUM(O22:S22)</f>
        <v>5663693</v>
      </c>
      <c r="V22" s="81">
        <f>P22+R22+T22</f>
        <v>693</v>
      </c>
      <c r="W22" s="341"/>
      <c r="X22" s="340">
        <f>U22*W22</f>
        <v>0</v>
      </c>
      <c r="Y22" s="340"/>
      <c r="Z22" s="344"/>
      <c r="AA22" s="340">
        <f t="shared" si="6"/>
        <v>5663693</v>
      </c>
      <c r="AB22" s="81">
        <f>V22+Z22</f>
        <v>693</v>
      </c>
      <c r="AC22" s="26"/>
    </row>
    <row r="23" spans="1:29" ht="12.75">
      <c r="A23" s="26">
        <v>26</v>
      </c>
      <c r="B23" s="139" t="s">
        <v>349</v>
      </c>
      <c r="C23" s="66" t="s">
        <v>339</v>
      </c>
      <c r="D23" s="66" t="s">
        <v>340</v>
      </c>
      <c r="E23" s="66">
        <v>1</v>
      </c>
      <c r="F23" s="26"/>
      <c r="G23" s="26" t="s">
        <v>217</v>
      </c>
      <c r="H23" s="81">
        <v>1400000</v>
      </c>
      <c r="I23" s="66">
        <v>1400000</v>
      </c>
      <c r="J23" s="81">
        <v>13158000</v>
      </c>
      <c r="K23" s="81">
        <v>11057000</v>
      </c>
      <c r="L23" s="81">
        <f>SUM(J23-K23)</f>
        <v>2101000</v>
      </c>
      <c r="M23" s="81">
        <f>L23*45%</f>
        <v>945450</v>
      </c>
      <c r="N23" s="81">
        <f>SUM(K23,M23)</f>
        <v>12002450</v>
      </c>
      <c r="O23" s="81">
        <f>ROUNDUP(N23,-3)</f>
        <v>12003000</v>
      </c>
      <c r="P23" s="81">
        <v>693</v>
      </c>
      <c r="Q23" s="81"/>
      <c r="R23" s="81"/>
      <c r="S23" s="81"/>
      <c r="T23" s="344"/>
      <c r="U23" s="340">
        <f>SUM(O23:S23)</f>
        <v>12003693</v>
      </c>
      <c r="V23" s="81">
        <f>P23+R23+T23</f>
        <v>693</v>
      </c>
      <c r="W23" s="341">
        <v>0.2</v>
      </c>
      <c r="X23" s="340">
        <f>U23*W23</f>
        <v>2400738.6</v>
      </c>
      <c r="Y23" s="342"/>
      <c r="Z23" s="343"/>
      <c r="AA23" s="340">
        <f t="shared" si="6"/>
        <v>14404431.6</v>
      </c>
      <c r="AB23" s="81">
        <f>V23+Z23</f>
        <v>693</v>
      </c>
      <c r="AC23" s="26"/>
    </row>
    <row r="24" spans="1:29" ht="12.75">
      <c r="A24" s="26">
        <v>29</v>
      </c>
      <c r="B24" s="139" t="s">
        <v>346</v>
      </c>
      <c r="C24" s="66" t="s">
        <v>345</v>
      </c>
      <c r="D24" s="66" t="s">
        <v>340</v>
      </c>
      <c r="E24" s="66">
        <v>1</v>
      </c>
      <c r="F24" s="26"/>
      <c r="G24" s="26" t="s">
        <v>81</v>
      </c>
      <c r="H24" s="81">
        <v>2624000</v>
      </c>
      <c r="I24" s="66">
        <f>H24*1.0829</f>
        <v>2841529.6</v>
      </c>
      <c r="J24" s="81">
        <v>7201000</v>
      </c>
      <c r="K24" s="81">
        <v>6316000</v>
      </c>
      <c r="L24" s="81">
        <f>SUM(J24-K24)</f>
        <v>885000</v>
      </c>
      <c r="M24" s="81">
        <f>L24*45%</f>
        <v>398250</v>
      </c>
      <c r="N24" s="81">
        <f t="shared" si="0"/>
        <v>6714250</v>
      </c>
      <c r="O24" s="81">
        <f>ROUNDUP(N24,-3)</f>
        <v>6715000</v>
      </c>
      <c r="P24" s="81">
        <v>804</v>
      </c>
      <c r="Q24" s="81"/>
      <c r="R24" s="81"/>
      <c r="S24" s="81"/>
      <c r="T24" s="344"/>
      <c r="U24" s="340">
        <f t="shared" si="3"/>
        <v>6715804</v>
      </c>
      <c r="V24" s="81">
        <f t="shared" si="1"/>
        <v>804</v>
      </c>
      <c r="W24" s="341">
        <v>0.25</v>
      </c>
      <c r="X24" s="340">
        <f t="shared" si="4"/>
        <v>1678951</v>
      </c>
      <c r="Y24" s="342">
        <v>0.25</v>
      </c>
      <c r="Z24" s="343">
        <f t="shared" si="2"/>
        <v>201</v>
      </c>
      <c r="AA24" s="340">
        <f t="shared" si="6"/>
        <v>8394755</v>
      </c>
      <c r="AB24" s="81">
        <f t="shared" si="5"/>
        <v>1005</v>
      </c>
      <c r="AC24" s="26"/>
    </row>
    <row r="25" spans="1:36" ht="12.75">
      <c r="A25" s="26">
        <v>30</v>
      </c>
      <c r="B25" s="26" t="s">
        <v>408</v>
      </c>
      <c r="C25" s="66" t="s">
        <v>345</v>
      </c>
      <c r="D25" s="66" t="s">
        <v>343</v>
      </c>
      <c r="E25" s="66">
        <v>1</v>
      </c>
      <c r="F25" s="26"/>
      <c r="G25" s="26" t="s">
        <v>322</v>
      </c>
      <c r="H25" s="26">
        <v>2119000</v>
      </c>
      <c r="I25" s="66">
        <f>H25*1.0829</f>
        <v>2294665.1</v>
      </c>
      <c r="J25" s="81"/>
      <c r="K25" s="81"/>
      <c r="L25" s="81"/>
      <c r="M25" s="81" t="e">
        <f>CEILING(#REF!*1.06,1000)</f>
        <v>#REF!</v>
      </c>
      <c r="N25" s="81"/>
      <c r="O25" s="81">
        <v>4445000</v>
      </c>
      <c r="P25" s="81">
        <v>570</v>
      </c>
      <c r="Q25" s="81"/>
      <c r="R25" s="81"/>
      <c r="S25" s="81"/>
      <c r="T25" s="344"/>
      <c r="U25" s="340">
        <f>SUM(O25:S25)</f>
        <v>4445570</v>
      </c>
      <c r="V25" s="81">
        <f t="shared" si="1"/>
        <v>570</v>
      </c>
      <c r="W25" s="341">
        <v>0.2</v>
      </c>
      <c r="X25" s="340">
        <f>U25*W25</f>
        <v>889114</v>
      </c>
      <c r="Y25" s="342">
        <v>0.2</v>
      </c>
      <c r="Z25" s="343">
        <f t="shared" si="2"/>
        <v>114</v>
      </c>
      <c r="AA25" s="340">
        <f t="shared" si="6"/>
        <v>5334684</v>
      </c>
      <c r="AB25" s="81">
        <f t="shared" si="5"/>
        <v>684</v>
      </c>
      <c r="AC25" s="26"/>
      <c r="AD25" s="54"/>
      <c r="AE25" s="54"/>
      <c r="AF25" s="54"/>
      <c r="AG25" s="54"/>
      <c r="AH25" s="54"/>
      <c r="AI25" s="54"/>
      <c r="AJ25" s="54"/>
    </row>
    <row r="26" spans="1:29" ht="12.75">
      <c r="A26" s="26"/>
      <c r="B26" s="138"/>
      <c r="C26" s="66"/>
      <c r="D26" s="66"/>
      <c r="E26" s="66"/>
      <c r="F26" s="26"/>
      <c r="G26" s="26"/>
      <c r="H26" s="66"/>
      <c r="I26" s="81"/>
      <c r="J26" s="81"/>
      <c r="K26" s="81"/>
      <c r="L26" s="81"/>
      <c r="M26" s="81"/>
      <c r="N26" s="81"/>
      <c r="O26" s="81"/>
      <c r="P26" s="81"/>
      <c r="Q26" s="81"/>
      <c r="R26" s="81"/>
      <c r="S26" s="81"/>
      <c r="T26" s="81"/>
      <c r="U26" s="26"/>
      <c r="V26" s="81"/>
      <c r="W26" s="132"/>
      <c r="X26" s="26"/>
      <c r="Y26" s="26"/>
      <c r="Z26" s="81"/>
      <c r="AA26" s="26"/>
      <c r="AB26" s="81"/>
      <c r="AC26" s="26"/>
    </row>
    <row r="27" spans="1:29" s="62" customFormat="1" ht="12.75">
      <c r="A27" s="4"/>
      <c r="B27" s="4" t="s">
        <v>468</v>
      </c>
      <c r="C27" s="21"/>
      <c r="D27" s="21"/>
      <c r="E27" s="21"/>
      <c r="F27" s="4"/>
      <c r="G27" s="4"/>
      <c r="H27" s="4"/>
      <c r="I27" s="4"/>
      <c r="J27" s="4"/>
      <c r="K27" s="4"/>
      <c r="L27" s="4"/>
      <c r="M27" s="4"/>
      <c r="N27" s="4"/>
      <c r="O27" s="4"/>
      <c r="P27" s="4">
        <f>SUM(P17:P26)</f>
        <v>8266</v>
      </c>
      <c r="Q27" s="345">
        <f>SUM(Q17:Q25)</f>
        <v>3600900</v>
      </c>
      <c r="R27" s="346">
        <f>SUM(R17:R25)</f>
        <v>439.5</v>
      </c>
      <c r="S27" s="345">
        <f>SUM(S17:S25)</f>
        <v>2340585</v>
      </c>
      <c r="T27" s="346">
        <f>SUM(T17:T25)</f>
        <v>285.675</v>
      </c>
      <c r="U27" s="345">
        <f>SUM(U17:U25)</f>
        <v>77583190.5</v>
      </c>
      <c r="V27" s="4">
        <f>SUM(V17:V26)</f>
        <v>8991.175</v>
      </c>
      <c r="W27" s="345">
        <f>SUM(W17:W25)</f>
        <v>1.2</v>
      </c>
      <c r="X27" s="345">
        <f>SUM(X17:X25)</f>
        <v>12276485.475</v>
      </c>
      <c r="Y27" s="345"/>
      <c r="Z27" s="4">
        <f>SUM(Z17:Z25)</f>
        <v>1424.24375</v>
      </c>
      <c r="AA27" s="345">
        <f>SUM(AA17:AA25)</f>
        <v>89859675.975</v>
      </c>
      <c r="AB27" s="4">
        <f>SUM(AB17:AB25)</f>
        <v>10415.41875</v>
      </c>
      <c r="AC27" s="4"/>
    </row>
    <row r="28" spans="1:29" s="62" customFormat="1" ht="12.75">
      <c r="A28" s="4"/>
      <c r="B28" s="4"/>
      <c r="C28" s="21"/>
      <c r="D28" s="21"/>
      <c r="E28" s="21"/>
      <c r="F28" s="4"/>
      <c r="G28" s="4"/>
      <c r="H28" s="4"/>
      <c r="I28" s="4"/>
      <c r="J28" s="4"/>
      <c r="K28" s="4"/>
      <c r="L28" s="4"/>
      <c r="M28" s="4"/>
      <c r="N28" s="4"/>
      <c r="O28" s="4"/>
      <c r="P28" s="4"/>
      <c r="Q28" s="345"/>
      <c r="R28" s="346"/>
      <c r="S28" s="345"/>
      <c r="T28" s="346"/>
      <c r="U28" s="345"/>
      <c r="V28" s="4"/>
      <c r="W28" s="345"/>
      <c r="X28" s="345"/>
      <c r="Y28" s="345"/>
      <c r="Z28" s="4"/>
      <c r="AA28" s="345"/>
      <c r="AB28" s="4"/>
      <c r="AC28" s="4"/>
    </row>
    <row r="29" spans="1:29" s="62" customFormat="1" ht="12.75">
      <c r="A29" s="4"/>
      <c r="B29" s="4"/>
      <c r="C29" s="21"/>
      <c r="D29" s="21"/>
      <c r="E29" s="21"/>
      <c r="F29" s="4"/>
      <c r="G29" s="4"/>
      <c r="H29" s="4"/>
      <c r="I29" s="4"/>
      <c r="J29" s="4"/>
      <c r="K29" s="4"/>
      <c r="L29" s="4"/>
      <c r="M29" s="4"/>
      <c r="N29" s="4"/>
      <c r="O29" s="4"/>
      <c r="P29" s="4"/>
      <c r="Q29" s="345"/>
      <c r="R29" s="346"/>
      <c r="S29" s="345"/>
      <c r="T29" s="346"/>
      <c r="U29" s="345"/>
      <c r="V29" s="4"/>
      <c r="W29" s="345"/>
      <c r="X29" s="345"/>
      <c r="Y29" s="345"/>
      <c r="Z29" s="4"/>
      <c r="AA29" s="345"/>
      <c r="AB29" s="4"/>
      <c r="AC29" s="4"/>
    </row>
    <row r="30" spans="1:29" s="62" customFormat="1" ht="12.75">
      <c r="A30" s="4"/>
      <c r="B30" s="4"/>
      <c r="C30" s="21"/>
      <c r="D30" s="21"/>
      <c r="E30" s="21"/>
      <c r="F30" s="4"/>
      <c r="G30" s="4"/>
      <c r="H30" s="4"/>
      <c r="I30" s="4"/>
      <c r="J30" s="4"/>
      <c r="K30" s="4"/>
      <c r="L30" s="4"/>
      <c r="M30" s="4"/>
      <c r="N30" s="4"/>
      <c r="O30" s="4"/>
      <c r="P30" s="4"/>
      <c r="Q30" s="345"/>
      <c r="R30" s="346"/>
      <c r="S30" s="345"/>
      <c r="T30" s="346"/>
      <c r="U30" s="345"/>
      <c r="V30" s="4"/>
      <c r="W30" s="345"/>
      <c r="X30" s="345"/>
      <c r="Y30" s="345"/>
      <c r="Z30" s="4"/>
      <c r="AA30" s="345"/>
      <c r="AB30" s="4"/>
      <c r="AC30" s="4"/>
    </row>
    <row r="31" spans="1:29" s="62" customFormat="1" ht="12">
      <c r="A31" s="53"/>
      <c r="B31" s="53"/>
      <c r="C31" s="71"/>
      <c r="D31" s="71"/>
      <c r="E31" s="71"/>
      <c r="F31" s="53"/>
      <c r="P31" s="259"/>
      <c r="Q31" s="259"/>
      <c r="R31" s="259"/>
      <c r="S31" s="259"/>
      <c r="T31" s="259"/>
      <c r="U31" s="259"/>
      <c r="V31" s="259"/>
      <c r="W31" s="259"/>
      <c r="X31" s="259"/>
      <c r="Y31" s="259"/>
      <c r="Z31" s="259"/>
      <c r="AA31" s="259"/>
      <c r="AB31" s="259"/>
      <c r="AC31" s="58"/>
    </row>
    <row r="32" spans="1:29" ht="12">
      <c r="A32" s="54"/>
      <c r="B32" s="54"/>
      <c r="C32" s="55"/>
      <c r="D32" s="55"/>
      <c r="E32" s="55"/>
      <c r="F32" s="327"/>
      <c r="G32" s="328"/>
      <c r="H32" s="328"/>
      <c r="I32" s="328"/>
      <c r="J32" s="328"/>
      <c r="K32" s="328"/>
      <c r="L32" s="328"/>
      <c r="M32" s="328"/>
      <c r="N32" s="328"/>
      <c r="O32" s="328"/>
      <c r="P32" s="328"/>
      <c r="Q32" s="329"/>
      <c r="R32" s="329"/>
      <c r="S32" s="329"/>
      <c r="T32" s="329"/>
      <c r="U32" s="330"/>
      <c r="V32" s="54"/>
      <c r="W32" s="54"/>
      <c r="X32" s="54"/>
      <c r="Y32" s="54"/>
      <c r="Z32" s="54"/>
      <c r="AA32" s="54"/>
      <c r="AB32" s="54"/>
      <c r="AC32" s="54"/>
    </row>
    <row r="33" spans="1:29" ht="12">
      <c r="A33" s="54"/>
      <c r="F33" s="324"/>
      <c r="G33" s="331" t="s">
        <v>426</v>
      </c>
      <c r="H33" s="331"/>
      <c r="I33" s="331"/>
      <c r="J33" s="332"/>
      <c r="K33" s="332"/>
      <c r="L33" s="332"/>
      <c r="M33" s="332"/>
      <c r="N33" s="332"/>
      <c r="O33" s="332"/>
      <c r="P33" s="332"/>
      <c r="Q33" s="39"/>
      <c r="R33" s="39"/>
      <c r="S33" s="39"/>
      <c r="T33" s="39"/>
      <c r="U33" s="333"/>
      <c r="V33" s="59"/>
      <c r="W33" s="54"/>
      <c r="X33" s="54"/>
      <c r="Y33" s="54"/>
      <c r="Z33" s="54"/>
      <c r="AC33" s="54"/>
    </row>
    <row r="34" spans="1:29" ht="12">
      <c r="A34" s="54"/>
      <c r="F34" s="324"/>
      <c r="G34" s="325" t="s">
        <v>440</v>
      </c>
      <c r="H34" s="325"/>
      <c r="I34" s="325"/>
      <c r="J34" s="325"/>
      <c r="K34" s="325"/>
      <c r="L34" s="325"/>
      <c r="M34" s="325"/>
      <c r="N34" s="325"/>
      <c r="O34" s="325"/>
      <c r="P34" s="75"/>
      <c r="Q34" s="39"/>
      <c r="R34" s="39"/>
      <c r="S34" s="39"/>
      <c r="T34" s="39"/>
      <c r="U34" s="333"/>
      <c r="V34" s="59"/>
      <c r="W34" s="54"/>
      <c r="X34" s="54"/>
      <c r="Y34" s="54"/>
      <c r="Z34" s="54"/>
      <c r="AC34" s="54"/>
    </row>
    <row r="35" spans="1:29" ht="12">
      <c r="A35" s="54"/>
      <c r="B35" s="54"/>
      <c r="C35" s="55"/>
      <c r="D35" s="55"/>
      <c r="E35" s="55"/>
      <c r="F35" s="239"/>
      <c r="G35" s="80" t="s">
        <v>425</v>
      </c>
      <c r="H35" s="80"/>
      <c r="I35" s="80"/>
      <c r="J35" s="80"/>
      <c r="K35" s="80"/>
      <c r="L35" s="80"/>
      <c r="M35" s="39"/>
      <c r="N35" s="39"/>
      <c r="O35" s="39"/>
      <c r="P35" s="39"/>
      <c r="Q35" s="39"/>
      <c r="R35" s="39"/>
      <c r="S35" s="39"/>
      <c r="T35" s="39"/>
      <c r="U35" s="334"/>
      <c r="AA35" s="54"/>
      <c r="AB35" s="54"/>
      <c r="AC35" s="54"/>
    </row>
    <row r="36" spans="1:29" ht="12">
      <c r="A36" s="54"/>
      <c r="B36" s="54"/>
      <c r="C36" s="55"/>
      <c r="D36" s="55"/>
      <c r="E36" s="55"/>
      <c r="F36" s="324"/>
      <c r="G36" s="325" t="s">
        <v>427</v>
      </c>
      <c r="H36" s="325"/>
      <c r="I36" s="325"/>
      <c r="J36" s="325"/>
      <c r="K36" s="325"/>
      <c r="L36" s="325"/>
      <c r="M36" s="325"/>
      <c r="N36" s="39"/>
      <c r="O36" s="39"/>
      <c r="P36" s="39"/>
      <c r="Q36" s="39"/>
      <c r="R36" s="39"/>
      <c r="S36" s="39"/>
      <c r="T36" s="39"/>
      <c r="U36" s="334"/>
      <c r="W36" s="54"/>
      <c r="X36" s="54"/>
      <c r="Y36" s="54"/>
      <c r="Z36" s="54"/>
      <c r="AA36" s="54"/>
      <c r="AB36" s="54"/>
      <c r="AC36" s="54"/>
    </row>
    <row r="37" spans="1:29" ht="12.75" customHeight="1">
      <c r="A37" s="54"/>
      <c r="B37" s="54"/>
      <c r="C37" s="55"/>
      <c r="D37" s="55"/>
      <c r="E37" s="55"/>
      <c r="F37" s="335" t="s">
        <v>430</v>
      </c>
      <c r="G37" s="325"/>
      <c r="H37" s="325"/>
      <c r="I37" s="325"/>
      <c r="J37" s="325"/>
      <c r="K37" s="325"/>
      <c r="L37" s="325"/>
      <c r="M37" s="325"/>
      <c r="N37" s="325"/>
      <c r="O37" s="39"/>
      <c r="P37" s="39"/>
      <c r="Q37" s="39"/>
      <c r="R37" s="39"/>
      <c r="S37" s="39"/>
      <c r="T37" s="39"/>
      <c r="U37" s="334"/>
      <c r="W37" s="54"/>
      <c r="X37" s="54"/>
      <c r="Y37" s="54"/>
      <c r="Z37" s="54"/>
      <c r="AA37" s="54"/>
      <c r="AB37" s="54"/>
      <c r="AC37" s="54"/>
    </row>
    <row r="38" spans="1:29" ht="12">
      <c r="A38" s="54"/>
      <c r="B38" s="54"/>
      <c r="C38" s="55"/>
      <c r="D38" s="55"/>
      <c r="E38" s="55"/>
      <c r="F38" s="324"/>
      <c r="G38" s="423" t="s">
        <v>428</v>
      </c>
      <c r="H38" s="423"/>
      <c r="I38" s="423"/>
      <c r="J38" s="423"/>
      <c r="K38" s="423"/>
      <c r="L38" s="423"/>
      <c r="M38" s="423"/>
      <c r="N38" s="423"/>
      <c r="O38" s="423"/>
      <c r="P38" s="423"/>
      <c r="Q38" s="423"/>
      <c r="R38" s="423"/>
      <c r="S38" s="423"/>
      <c r="T38" s="423"/>
      <c r="U38" s="424"/>
      <c r="V38" s="77"/>
      <c r="W38" s="54"/>
      <c r="X38" s="54"/>
      <c r="Y38" s="54"/>
      <c r="Z38" s="54"/>
      <c r="AA38" s="54"/>
      <c r="AB38" s="54"/>
      <c r="AC38" s="54"/>
    </row>
    <row r="39" spans="1:29" ht="12">
      <c r="A39" s="54"/>
      <c r="B39" s="54"/>
      <c r="C39" s="55"/>
      <c r="D39" s="55"/>
      <c r="E39" s="55"/>
      <c r="F39" s="324"/>
      <c r="G39" s="331" t="s">
        <v>429</v>
      </c>
      <c r="H39" s="39"/>
      <c r="I39" s="39"/>
      <c r="J39" s="325"/>
      <c r="K39" s="325"/>
      <c r="L39" s="325"/>
      <c r="M39" s="325"/>
      <c r="N39" s="325"/>
      <c r="O39" s="39"/>
      <c r="P39" s="39"/>
      <c r="Q39" s="336" t="e">
        <f>#REF!</f>
        <v>#REF!</v>
      </c>
      <c r="R39" s="336">
        <f>AB27</f>
        <v>10415.41875</v>
      </c>
      <c r="S39" s="39"/>
      <c r="T39" s="39"/>
      <c r="U39" s="334"/>
      <c r="W39" s="54"/>
      <c r="X39" s="54"/>
      <c r="Y39" s="54"/>
      <c r="Z39" s="54"/>
      <c r="AA39" s="54"/>
      <c r="AB39" s="54"/>
      <c r="AC39" s="54"/>
    </row>
    <row r="40" spans="1:29" ht="12">
      <c r="A40" s="54"/>
      <c r="B40" s="54"/>
      <c r="C40" s="55"/>
      <c r="D40" s="55"/>
      <c r="E40" s="55"/>
      <c r="F40" s="324"/>
      <c r="G40" s="39" t="s">
        <v>528</v>
      </c>
      <c r="H40" s="39"/>
      <c r="I40" s="39"/>
      <c r="J40" s="38"/>
      <c r="K40" s="38"/>
      <c r="L40" s="38"/>
      <c r="M40" s="38"/>
      <c r="N40" s="38"/>
      <c r="O40" s="38"/>
      <c r="P40" s="38"/>
      <c r="Q40" s="38" t="s">
        <v>423</v>
      </c>
      <c r="R40" s="38"/>
      <c r="S40" s="39"/>
      <c r="T40" s="39"/>
      <c r="U40" s="221"/>
      <c r="V40" s="54"/>
      <c r="W40" s="54"/>
      <c r="X40" s="54"/>
      <c r="Y40" s="54"/>
      <c r="Z40" s="54"/>
      <c r="AA40" s="54"/>
      <c r="AB40" s="54"/>
      <c r="AC40" s="54"/>
    </row>
    <row r="41" spans="1:29" ht="12">
      <c r="A41" s="54"/>
      <c r="B41" s="54"/>
      <c r="C41" s="55"/>
      <c r="D41" s="55"/>
      <c r="E41" s="55"/>
      <c r="F41" s="326"/>
      <c r="G41" s="38"/>
      <c r="H41" s="38"/>
      <c r="I41" s="38"/>
      <c r="J41" s="38"/>
      <c r="K41" s="38"/>
      <c r="L41" s="38"/>
      <c r="M41" s="38"/>
      <c r="N41" s="38"/>
      <c r="O41" s="38"/>
      <c r="P41" s="38"/>
      <c r="Q41" s="38"/>
      <c r="R41" s="38"/>
      <c r="S41" s="38"/>
      <c r="T41" s="38"/>
      <c r="U41" s="221"/>
      <c r="V41" s="54"/>
      <c r="W41" s="54"/>
      <c r="X41" s="54"/>
      <c r="Y41" s="54"/>
      <c r="Z41" s="54"/>
      <c r="AA41" s="54"/>
      <c r="AB41" s="54"/>
      <c r="AC41" s="54"/>
    </row>
    <row r="42" spans="1:29" ht="12">
      <c r="A42" s="54"/>
      <c r="B42" s="54"/>
      <c r="C42" s="55"/>
      <c r="D42" s="55"/>
      <c r="E42" s="55"/>
      <c r="F42" s="324"/>
      <c r="G42" s="325" t="s">
        <v>438</v>
      </c>
      <c r="H42" s="325"/>
      <c r="I42" s="325"/>
      <c r="J42" s="325"/>
      <c r="K42" s="39"/>
      <c r="L42" s="39"/>
      <c r="M42" s="39"/>
      <c r="N42" s="39"/>
      <c r="O42" s="39"/>
      <c r="P42" s="39"/>
      <c r="Q42" s="39"/>
      <c r="R42" s="39"/>
      <c r="S42" s="39"/>
      <c r="T42" s="39"/>
      <c r="U42" s="334"/>
      <c r="W42" s="54"/>
      <c r="X42" s="54"/>
      <c r="Y42" s="54"/>
      <c r="Z42" s="54"/>
      <c r="AA42" s="54"/>
      <c r="AB42" s="54"/>
      <c r="AC42" s="54"/>
    </row>
    <row r="43" spans="1:29" ht="12">
      <c r="A43" s="54"/>
      <c r="B43" s="54"/>
      <c r="C43" s="55"/>
      <c r="D43" s="55"/>
      <c r="E43" s="55"/>
      <c r="F43" s="324"/>
      <c r="G43" s="325" t="s">
        <v>439</v>
      </c>
      <c r="H43" s="325"/>
      <c r="I43" s="325"/>
      <c r="J43" s="325"/>
      <c r="K43" s="39"/>
      <c r="L43" s="39"/>
      <c r="M43" s="39"/>
      <c r="N43" s="39"/>
      <c r="O43" s="39"/>
      <c r="P43" s="39"/>
      <c r="Q43" s="39"/>
      <c r="R43" s="39"/>
      <c r="S43" s="39"/>
      <c r="T43" s="39"/>
      <c r="U43" s="334"/>
      <c r="W43" s="54"/>
      <c r="X43" s="54"/>
      <c r="Y43" s="54"/>
      <c r="Z43" s="54"/>
      <c r="AA43" s="54"/>
      <c r="AB43" s="54"/>
      <c r="AC43" s="54"/>
    </row>
    <row r="44" spans="1:29" ht="12">
      <c r="A44" s="54"/>
      <c r="B44" s="54"/>
      <c r="C44" s="55"/>
      <c r="D44" s="55"/>
      <c r="E44" s="55"/>
      <c r="F44" s="337"/>
      <c r="G44" s="338"/>
      <c r="H44" s="338"/>
      <c r="I44" s="338"/>
      <c r="J44" s="338"/>
      <c r="K44" s="338"/>
      <c r="L44" s="338"/>
      <c r="M44" s="338"/>
      <c r="N44" s="338"/>
      <c r="O44" s="338"/>
      <c r="P44" s="338"/>
      <c r="Q44" s="338"/>
      <c r="R44" s="338"/>
      <c r="S44" s="338"/>
      <c r="T44" s="338"/>
      <c r="U44" s="339"/>
      <c r="V44" s="54"/>
      <c r="W44" s="54"/>
      <c r="X44" s="54"/>
      <c r="Y44" s="54"/>
      <c r="Z44" s="54"/>
      <c r="AA44" s="54"/>
      <c r="AB44" s="54"/>
      <c r="AC44" s="54"/>
    </row>
  </sheetData>
  <mergeCells count="12">
    <mergeCell ref="Y13:Z13"/>
    <mergeCell ref="Y3:Z3"/>
    <mergeCell ref="Y4:Z4"/>
    <mergeCell ref="Y5:Z5"/>
    <mergeCell ref="G38:U38"/>
    <mergeCell ref="W11:X11"/>
    <mergeCell ref="B13:F13"/>
    <mergeCell ref="W13:X13"/>
    <mergeCell ref="W3:X3"/>
    <mergeCell ref="W4:X4"/>
    <mergeCell ref="W5:X5"/>
    <mergeCell ref="A8:AA8"/>
  </mergeCells>
  <printOptions/>
  <pageMargins left="0.9448818897637796" right="0.5511811023622047" top="0.984251968503937" bottom="0.984251968503937" header="0.5118110236220472" footer="0.5118110236220472"/>
  <pageSetup horizontalDpi="120" verticalDpi="120" orientation="landscape" paperSize="8" r:id="rId1"/>
</worksheet>
</file>

<file path=xl/worksheets/sheet3.xml><?xml version="1.0" encoding="utf-8"?>
<worksheet xmlns="http://schemas.openxmlformats.org/spreadsheetml/2006/main" xmlns:r="http://schemas.openxmlformats.org/officeDocument/2006/relationships">
  <dimension ref="A1:AJ223"/>
  <sheetViews>
    <sheetView tabSelected="1" workbookViewId="0" topLeftCell="A16">
      <selection activeCell="A197" sqref="A197:IV197"/>
    </sheetView>
  </sheetViews>
  <sheetFormatPr defaultColWidth="9.140625" defaultRowHeight="12.75"/>
  <cols>
    <col min="1" max="1" width="5.8515625" style="26" customWidth="1"/>
    <col min="2" max="2" width="19.00390625" style="26" customWidth="1"/>
    <col min="3" max="3" width="12.421875" style="26" customWidth="1"/>
    <col min="4" max="4" width="14.7109375" style="26" customWidth="1"/>
    <col min="5" max="5" width="15.140625" style="26" customWidth="1"/>
    <col min="6" max="6" width="6.8515625" style="66" customWidth="1"/>
    <col min="7" max="7" width="9.8515625" style="66" bestFit="1" customWidth="1"/>
    <col min="8" max="8" width="8.7109375" style="66" customWidth="1"/>
    <col min="9" max="9" width="8.57421875" style="66" customWidth="1"/>
    <col min="10" max="10" width="9.421875" style="26" customWidth="1"/>
    <col min="11" max="27" width="12.8515625" style="26" hidden="1" customWidth="1"/>
    <col min="28" max="28" width="2.00390625" style="26" hidden="1" customWidth="1"/>
    <col min="29" max="29" width="17.57421875" style="26" hidden="1" customWidth="1"/>
    <col min="30" max="30" width="15.57421875" style="26" customWidth="1"/>
    <col min="31" max="31" width="10.421875" style="26" customWidth="1"/>
    <col min="32" max="32" width="7.57421875" style="26" customWidth="1"/>
    <col min="33" max="33" width="12.8515625" style="26" customWidth="1"/>
    <col min="34" max="36" width="9.140625" style="26" customWidth="1"/>
    <col min="37" max="16384" width="9.140625" style="63" customWidth="1"/>
  </cols>
  <sheetData>
    <row r="1" spans="1:31" ht="12.75">
      <c r="A1" s="4" t="s">
        <v>0</v>
      </c>
      <c r="B1" s="4"/>
      <c r="C1" s="4"/>
      <c r="D1" s="4"/>
      <c r="F1" s="21"/>
      <c r="G1" s="21"/>
      <c r="H1" s="21"/>
      <c r="I1" s="21"/>
      <c r="AE1" s="26" t="s">
        <v>589</v>
      </c>
    </row>
    <row r="2" spans="1:31" ht="12.75">
      <c r="A2" s="4"/>
      <c r="B2" s="4"/>
      <c r="C2" s="4"/>
      <c r="D2" s="4"/>
      <c r="F2" s="21"/>
      <c r="G2" s="21"/>
      <c r="H2" s="21"/>
      <c r="I2" s="21"/>
      <c r="AE2" s="26" t="s">
        <v>598</v>
      </c>
    </row>
    <row r="3" spans="1:9" ht="12.75">
      <c r="A3" s="4"/>
      <c r="B3" s="4"/>
      <c r="C3" s="4"/>
      <c r="D3" s="4"/>
      <c r="F3" s="21"/>
      <c r="G3" s="21"/>
      <c r="H3" s="21"/>
      <c r="I3" s="21"/>
    </row>
    <row r="4" spans="1:9" ht="12.75">
      <c r="A4" s="4"/>
      <c r="B4" s="4"/>
      <c r="C4" s="4"/>
      <c r="D4" s="4"/>
      <c r="F4" s="21"/>
      <c r="G4" s="21"/>
      <c r="H4" s="21"/>
      <c r="I4" s="21"/>
    </row>
    <row r="5" spans="1:9" ht="12.75">
      <c r="A5" s="4"/>
      <c r="B5" s="4"/>
      <c r="C5" s="4"/>
      <c r="D5" s="4"/>
      <c r="F5" s="21"/>
      <c r="G5" s="21"/>
      <c r="H5" s="21"/>
      <c r="I5" s="21"/>
    </row>
    <row r="6" spans="1:31" ht="15.75">
      <c r="A6" s="4"/>
      <c r="B6" s="4"/>
      <c r="C6" s="4"/>
      <c r="D6" s="4"/>
      <c r="F6" s="411" t="s">
        <v>1</v>
      </c>
      <c r="G6" s="21"/>
      <c r="H6" s="21"/>
      <c r="I6" s="21"/>
      <c r="AE6" s="63"/>
    </row>
    <row r="7" spans="1:9" ht="12.75">
      <c r="A7" s="4"/>
      <c r="B7" s="4"/>
      <c r="C7" s="4"/>
      <c r="D7" s="4"/>
      <c r="F7" s="26"/>
      <c r="G7" s="21"/>
      <c r="H7" s="21"/>
      <c r="I7" s="21"/>
    </row>
    <row r="8" spans="1:9" ht="12.75">
      <c r="A8" s="4"/>
      <c r="B8" s="4"/>
      <c r="C8" s="4"/>
      <c r="D8" s="4"/>
      <c r="F8" s="26"/>
      <c r="G8" s="21"/>
      <c r="H8" s="21"/>
      <c r="I8" s="21"/>
    </row>
    <row r="9" ht="24" customHeight="1" thickBot="1"/>
    <row r="10" spans="1:36" s="157" customFormat="1" ht="13.5" thickBot="1">
      <c r="A10" s="245" t="s">
        <v>4</v>
      </c>
      <c r="B10" s="353" t="s">
        <v>8</v>
      </c>
      <c r="C10" s="426" t="s">
        <v>5</v>
      </c>
      <c r="D10" s="430"/>
      <c r="E10" s="430"/>
      <c r="F10" s="431" t="s">
        <v>542</v>
      </c>
      <c r="G10" s="356" t="s">
        <v>543</v>
      </c>
      <c r="H10" s="360" t="s">
        <v>544</v>
      </c>
      <c r="I10" s="240" t="s">
        <v>9</v>
      </c>
      <c r="J10" s="426" t="s">
        <v>547</v>
      </c>
      <c r="K10" s="434"/>
      <c r="L10" s="434"/>
      <c r="M10" s="434"/>
      <c r="N10" s="434"/>
      <c r="O10" s="434"/>
      <c r="P10" s="434"/>
      <c r="Q10" s="434"/>
      <c r="R10" s="434"/>
      <c r="S10" s="434"/>
      <c r="T10" s="434"/>
      <c r="U10" s="434"/>
      <c r="V10" s="434"/>
      <c r="W10" s="434"/>
      <c r="X10" s="434"/>
      <c r="Y10" s="434"/>
      <c r="Z10" s="434"/>
      <c r="AA10" s="434"/>
      <c r="AB10" s="434"/>
      <c r="AC10" s="434"/>
      <c r="AD10" s="435"/>
      <c r="AE10" s="363" t="s">
        <v>548</v>
      </c>
      <c r="AF10" s="363" t="s">
        <v>128</v>
      </c>
      <c r="AG10" s="243" t="s">
        <v>128</v>
      </c>
      <c r="AH10" s="89"/>
      <c r="AI10" s="89"/>
      <c r="AJ10" s="89"/>
    </row>
    <row r="11" spans="1:36" s="157" customFormat="1" ht="12.75">
      <c r="A11" s="386"/>
      <c r="B11" s="154"/>
      <c r="C11" s="354" t="s">
        <v>540</v>
      </c>
      <c r="D11" s="154" t="s">
        <v>7</v>
      </c>
      <c r="E11" s="242" t="s">
        <v>537</v>
      </c>
      <c r="F11" s="432"/>
      <c r="G11" s="357" t="s">
        <v>541</v>
      </c>
      <c r="H11" s="279" t="s">
        <v>545</v>
      </c>
      <c r="I11" s="244" t="s">
        <v>10</v>
      </c>
      <c r="J11" s="245" t="s">
        <v>566</v>
      </c>
      <c r="K11" s="154"/>
      <c r="L11" s="73"/>
      <c r="M11" s="73"/>
      <c r="N11" s="73"/>
      <c r="O11" s="73" t="s">
        <v>176</v>
      </c>
      <c r="P11" s="73" t="s">
        <v>174</v>
      </c>
      <c r="Q11" s="73"/>
      <c r="R11" s="73" t="s">
        <v>168</v>
      </c>
      <c r="S11" s="73" t="s">
        <v>168</v>
      </c>
      <c r="T11" s="73"/>
      <c r="U11" s="73"/>
      <c r="V11" s="162" t="s">
        <v>277</v>
      </c>
      <c r="W11" s="162" t="s">
        <v>277</v>
      </c>
      <c r="X11" s="162" t="s">
        <v>170</v>
      </c>
      <c r="Y11" s="136" t="s">
        <v>246</v>
      </c>
      <c r="Z11" s="162" t="s">
        <v>316</v>
      </c>
      <c r="AA11" s="162" t="s">
        <v>168</v>
      </c>
      <c r="AB11" s="162" t="s">
        <v>168</v>
      </c>
      <c r="AC11" s="172" t="s">
        <v>168</v>
      </c>
      <c r="AD11" s="243" t="s">
        <v>6</v>
      </c>
      <c r="AE11" s="244" t="s">
        <v>549</v>
      </c>
      <c r="AF11" s="244" t="s">
        <v>10</v>
      </c>
      <c r="AG11" s="244" t="s">
        <v>566</v>
      </c>
      <c r="AH11" s="89"/>
      <c r="AI11" s="89"/>
      <c r="AJ11" s="89"/>
    </row>
    <row r="12" spans="1:36" s="157" customFormat="1" ht="13.5" thickBot="1">
      <c r="A12" s="170"/>
      <c r="B12" s="155"/>
      <c r="C12" s="155" t="s">
        <v>539</v>
      </c>
      <c r="D12" s="155"/>
      <c r="E12" s="355" t="s">
        <v>538</v>
      </c>
      <c r="F12" s="433"/>
      <c r="G12" s="358"/>
      <c r="H12" s="359" t="s">
        <v>546</v>
      </c>
      <c r="I12" s="249"/>
      <c r="J12" s="170" t="s">
        <v>583</v>
      </c>
      <c r="K12" s="155"/>
      <c r="L12" s="74"/>
      <c r="M12" s="74"/>
      <c r="N12" s="74"/>
      <c r="O12" s="74" t="s">
        <v>172</v>
      </c>
      <c r="P12" s="74" t="s">
        <v>175</v>
      </c>
      <c r="Q12" s="74"/>
      <c r="R12" s="74" t="s">
        <v>172</v>
      </c>
      <c r="S12" s="74" t="s">
        <v>172</v>
      </c>
      <c r="T12" s="74"/>
      <c r="U12" s="74"/>
      <c r="V12" s="74"/>
      <c r="W12" s="168" t="s">
        <v>281</v>
      </c>
      <c r="X12" s="168">
        <v>2005</v>
      </c>
      <c r="Y12" s="137" t="s">
        <v>251</v>
      </c>
      <c r="Z12" s="168" t="s">
        <v>317</v>
      </c>
      <c r="AA12" s="168"/>
      <c r="AB12" s="168">
        <v>2005</v>
      </c>
      <c r="AC12" s="361">
        <v>2005</v>
      </c>
      <c r="AD12" s="362"/>
      <c r="AE12" s="362"/>
      <c r="AF12" s="362"/>
      <c r="AG12" s="249" t="s">
        <v>546</v>
      </c>
      <c r="AH12" s="89"/>
      <c r="AI12" s="89"/>
      <c r="AJ12" s="89"/>
    </row>
    <row r="13" spans="1:36" s="157" customFormat="1" ht="12.75">
      <c r="A13" s="89"/>
      <c r="B13" s="89"/>
      <c r="C13" s="89"/>
      <c r="D13" s="89"/>
      <c r="E13" s="89"/>
      <c r="F13" s="172"/>
      <c r="G13" s="172"/>
      <c r="H13" s="172"/>
      <c r="I13" s="172"/>
      <c r="J13" s="89"/>
      <c r="K13" s="89"/>
      <c r="L13" s="89"/>
      <c r="M13" s="89"/>
      <c r="N13" s="89"/>
      <c r="O13" s="89"/>
      <c r="P13" s="89"/>
      <c r="Q13" s="89"/>
      <c r="R13" s="89"/>
      <c r="S13" s="89"/>
      <c r="T13" s="89"/>
      <c r="U13" s="89"/>
      <c r="V13" s="89"/>
      <c r="W13" s="235"/>
      <c r="X13" s="235"/>
      <c r="Y13" s="172"/>
      <c r="Z13" s="235"/>
      <c r="AA13" s="235"/>
      <c r="AB13" s="235"/>
      <c r="AC13" s="235"/>
      <c r="AD13" s="235"/>
      <c r="AE13" s="235"/>
      <c r="AF13" s="235"/>
      <c r="AG13" s="235"/>
      <c r="AH13" s="89"/>
      <c r="AI13" s="89"/>
      <c r="AJ13" s="89"/>
    </row>
    <row r="14" spans="1:36" s="157" customFormat="1" ht="15">
      <c r="A14" s="89"/>
      <c r="B14" s="351" t="s">
        <v>519</v>
      </c>
      <c r="C14" s="351"/>
      <c r="D14" s="89"/>
      <c r="E14" s="89"/>
      <c r="F14" s="172"/>
      <c r="G14" s="172"/>
      <c r="H14" s="172"/>
      <c r="I14" s="172"/>
      <c r="J14" s="89"/>
      <c r="K14" s="89"/>
      <c r="L14" s="89"/>
      <c r="M14" s="89"/>
      <c r="N14" s="89"/>
      <c r="O14" s="89"/>
      <c r="P14" s="89"/>
      <c r="Q14" s="89"/>
      <c r="R14" s="89"/>
      <c r="S14" s="89"/>
      <c r="T14" s="89"/>
      <c r="U14" s="89"/>
      <c r="V14" s="89"/>
      <c r="W14" s="235"/>
      <c r="X14" s="235"/>
      <c r="Y14" s="172"/>
      <c r="Z14" s="235"/>
      <c r="AA14" s="235"/>
      <c r="AB14" s="235"/>
      <c r="AC14" s="235"/>
      <c r="AD14" s="235"/>
      <c r="AE14" s="235"/>
      <c r="AF14" s="235"/>
      <c r="AG14" s="235"/>
      <c r="AH14" s="89"/>
      <c r="AI14" s="89"/>
      <c r="AJ14" s="89"/>
    </row>
    <row r="15" spans="1:36" s="157" customFormat="1" ht="12.75">
      <c r="A15" s="364">
        <v>4</v>
      </c>
      <c r="B15" s="364" t="s">
        <v>163</v>
      </c>
      <c r="C15" s="364"/>
      <c r="D15" s="364" t="s">
        <v>550</v>
      </c>
      <c r="E15" s="364"/>
      <c r="F15" s="365"/>
      <c r="G15" s="365"/>
      <c r="H15" s="365"/>
      <c r="I15" s="365" t="s">
        <v>30</v>
      </c>
      <c r="J15" s="364"/>
      <c r="K15" s="364"/>
      <c r="L15" s="364"/>
      <c r="M15" s="364"/>
      <c r="N15" s="364"/>
      <c r="O15" s="364"/>
      <c r="P15" s="364"/>
      <c r="Q15" s="364"/>
      <c r="R15" s="364"/>
      <c r="S15" s="364"/>
      <c r="T15" s="364"/>
      <c r="U15" s="364"/>
      <c r="V15" s="364"/>
      <c r="W15" s="366"/>
      <c r="X15" s="366"/>
      <c r="Y15" s="365"/>
      <c r="Z15" s="366"/>
      <c r="AA15" s="366"/>
      <c r="AB15" s="366"/>
      <c r="AC15" s="366"/>
      <c r="AD15" s="367"/>
      <c r="AE15" s="367"/>
      <c r="AF15" s="367"/>
      <c r="AG15" s="367">
        <v>3330</v>
      </c>
      <c r="AH15" s="89"/>
      <c r="AI15" s="89"/>
      <c r="AJ15" s="89"/>
    </row>
    <row r="16" spans="1:36" s="157" customFormat="1" ht="12.75">
      <c r="A16" s="89"/>
      <c r="B16" s="89"/>
      <c r="C16" s="89"/>
      <c r="D16" s="89"/>
      <c r="E16" s="89"/>
      <c r="F16" s="172"/>
      <c r="G16" s="172"/>
      <c r="H16" s="172"/>
      <c r="I16" s="172"/>
      <c r="J16" s="89"/>
      <c r="K16" s="89"/>
      <c r="L16" s="89"/>
      <c r="M16" s="89"/>
      <c r="N16" s="89"/>
      <c r="O16" s="89"/>
      <c r="P16" s="89"/>
      <c r="Q16" s="89"/>
      <c r="R16" s="89"/>
      <c r="S16" s="89"/>
      <c r="T16" s="89"/>
      <c r="U16" s="89"/>
      <c r="V16" s="89"/>
      <c r="W16" s="235"/>
      <c r="X16" s="235"/>
      <c r="Y16" s="172"/>
      <c r="Z16" s="235"/>
      <c r="AA16" s="235"/>
      <c r="AB16" s="235"/>
      <c r="AC16" s="235"/>
      <c r="AD16" s="234"/>
      <c r="AE16" s="234"/>
      <c r="AF16" s="234"/>
      <c r="AG16" s="234"/>
      <c r="AH16" s="89"/>
      <c r="AI16" s="89"/>
      <c r="AJ16" s="89"/>
    </row>
    <row r="17" spans="2:3" ht="15">
      <c r="B17" s="351" t="s">
        <v>357</v>
      </c>
      <c r="C17" s="351"/>
    </row>
    <row r="18" spans="1:33" ht="12.75">
      <c r="A18" s="364">
        <v>5</v>
      </c>
      <c r="B18" s="364" t="s">
        <v>85</v>
      </c>
      <c r="C18" s="364"/>
      <c r="D18" s="365" t="s">
        <v>214</v>
      </c>
      <c r="E18" s="368" t="s">
        <v>338</v>
      </c>
      <c r="F18" s="365" t="s">
        <v>339</v>
      </c>
      <c r="G18" s="365" t="s">
        <v>340</v>
      </c>
      <c r="H18" s="365">
        <v>1</v>
      </c>
      <c r="I18" s="365" t="s">
        <v>30</v>
      </c>
      <c r="J18" s="364"/>
      <c r="K18" s="364">
        <v>4023000</v>
      </c>
      <c r="L18" s="365">
        <f>K18*1.0829</f>
        <v>4356506.7</v>
      </c>
      <c r="M18" s="365">
        <f>CEILING(L18*1.03,1000)</f>
        <v>4488000</v>
      </c>
      <c r="N18" s="367">
        <v>5571000</v>
      </c>
      <c r="O18" s="367">
        <v>8200000</v>
      </c>
      <c r="P18" s="367">
        <f>CEILING(N18*1.12,1000)</f>
        <v>6240000</v>
      </c>
      <c r="Q18" s="367">
        <f>O18-P18</f>
        <v>1960000</v>
      </c>
      <c r="R18" s="364">
        <f>Q18*0.38</f>
        <v>744800</v>
      </c>
      <c r="S18" s="364">
        <f>P18+R18</f>
        <v>6984800</v>
      </c>
      <c r="T18" s="364">
        <v>8200000</v>
      </c>
      <c r="U18" s="367">
        <f>CEILING(T18*1.06,1000)</f>
        <v>8692000</v>
      </c>
      <c r="V18" s="367" t="s">
        <v>267</v>
      </c>
      <c r="W18" s="367" t="s">
        <v>283</v>
      </c>
      <c r="X18" s="367">
        <v>13158000</v>
      </c>
      <c r="Y18" s="367">
        <v>11057000</v>
      </c>
      <c r="Z18" s="367">
        <f>X18-Y18</f>
        <v>2101000</v>
      </c>
      <c r="AA18" s="367">
        <f>Z18*45%</f>
        <v>945450</v>
      </c>
      <c r="AB18" s="367">
        <f>SUM(Y18,AA18)</f>
        <v>12002450</v>
      </c>
      <c r="AC18" s="367">
        <f>ROUNDUP(AB18,-3)</f>
        <v>12003000</v>
      </c>
      <c r="AD18" s="367"/>
      <c r="AE18" s="367"/>
      <c r="AF18" s="367"/>
      <c r="AG18" s="367">
        <v>1569</v>
      </c>
    </row>
    <row r="19" spans="2:33" ht="12.75">
      <c r="B19" s="352" t="s">
        <v>358</v>
      </c>
      <c r="C19" s="352"/>
      <c r="L19" s="66"/>
      <c r="M19" s="66"/>
      <c r="N19" s="81"/>
      <c r="O19" s="81"/>
      <c r="P19" s="81"/>
      <c r="Q19" s="81"/>
      <c r="Y19" s="81"/>
      <c r="Z19" s="81">
        <f aca="true" t="shared" si="0" ref="Z19:Z25">X19-Y19</f>
        <v>0</v>
      </c>
      <c r="AA19" s="81">
        <f aca="true" t="shared" si="1" ref="AA19:AA28">Z19*45%</f>
        <v>0</v>
      </c>
      <c r="AB19" s="81"/>
      <c r="AC19" s="81"/>
      <c r="AD19" s="81"/>
      <c r="AE19" s="81"/>
      <c r="AF19" s="81"/>
      <c r="AG19" s="81"/>
    </row>
    <row r="20" spans="1:33" ht="12.75">
      <c r="A20" s="364">
        <v>6</v>
      </c>
      <c r="B20" s="364" t="s">
        <v>87</v>
      </c>
      <c r="C20" s="364"/>
      <c r="D20" s="364" t="s">
        <v>33</v>
      </c>
      <c r="E20" s="368" t="s">
        <v>338</v>
      </c>
      <c r="F20" s="365" t="s">
        <v>339</v>
      </c>
      <c r="G20" s="365" t="s">
        <v>340</v>
      </c>
      <c r="H20" s="365">
        <v>1</v>
      </c>
      <c r="I20" s="365" t="s">
        <v>30</v>
      </c>
      <c r="J20" s="364"/>
      <c r="K20" s="364">
        <v>4023000</v>
      </c>
      <c r="L20" s="365">
        <f>K20*1.0829</f>
        <v>4356506.7</v>
      </c>
      <c r="M20" s="365">
        <f>CEILING(L20*1.03,1000)</f>
        <v>4488000</v>
      </c>
      <c r="N20" s="365">
        <v>5571000</v>
      </c>
      <c r="O20" s="367">
        <v>8200000</v>
      </c>
      <c r="P20" s="367">
        <f>CEILING(N20*1.12,1000)</f>
        <v>6240000</v>
      </c>
      <c r="Q20" s="367">
        <f>O20-P20</f>
        <v>1960000</v>
      </c>
      <c r="R20" s="364">
        <f>Q20*0.38</f>
        <v>744800</v>
      </c>
      <c r="S20" s="364">
        <f>P20+R20</f>
        <v>6984800</v>
      </c>
      <c r="T20" s="364">
        <v>8200000</v>
      </c>
      <c r="U20" s="367">
        <f>CEILING(T20*1.06,1000)</f>
        <v>8692000</v>
      </c>
      <c r="V20" s="367" t="s">
        <v>260</v>
      </c>
      <c r="W20" s="367" t="s">
        <v>284</v>
      </c>
      <c r="X20" s="367">
        <v>13158000</v>
      </c>
      <c r="Y20" s="367">
        <v>11057000</v>
      </c>
      <c r="Z20" s="367">
        <f t="shared" si="0"/>
        <v>2101000</v>
      </c>
      <c r="AA20" s="367">
        <f t="shared" si="1"/>
        <v>945450</v>
      </c>
      <c r="AB20" s="367">
        <f aca="true" t="shared" si="2" ref="AB20:AB26">SUM(Y20,AA20)</f>
        <v>12002450</v>
      </c>
      <c r="AC20" s="367">
        <f>ROUNDUP(AB20,-3)</f>
        <v>12003000</v>
      </c>
      <c r="AD20" s="367"/>
      <c r="AE20" s="367"/>
      <c r="AF20" s="367"/>
      <c r="AG20" s="367">
        <v>1569</v>
      </c>
    </row>
    <row r="21" spans="1:33" ht="12.75">
      <c r="A21" s="364">
        <v>7</v>
      </c>
      <c r="B21" s="364" t="s">
        <v>101</v>
      </c>
      <c r="C21" s="364"/>
      <c r="D21" s="364"/>
      <c r="E21" s="368" t="s">
        <v>338</v>
      </c>
      <c r="F21" s="365" t="s">
        <v>339</v>
      </c>
      <c r="G21" s="365" t="s">
        <v>340</v>
      </c>
      <c r="H21" s="365">
        <v>1</v>
      </c>
      <c r="I21" s="365" t="s">
        <v>30</v>
      </c>
      <c r="J21" s="364"/>
      <c r="K21" s="364">
        <v>3556000</v>
      </c>
      <c r="L21" s="365">
        <f>K21*1.0829</f>
        <v>3850792.4</v>
      </c>
      <c r="M21" s="365">
        <f>CEILING(L21*1.03,1000)</f>
        <v>3967000</v>
      </c>
      <c r="N21" s="367">
        <v>4993000</v>
      </c>
      <c r="O21" s="367">
        <v>8200000</v>
      </c>
      <c r="P21" s="365">
        <f>CEILING(N21*1.12,1000)</f>
        <v>5593000</v>
      </c>
      <c r="Q21" s="367">
        <f>O21-P21</f>
        <v>2607000</v>
      </c>
      <c r="R21" s="364">
        <f>Q21*0.38</f>
        <v>990660</v>
      </c>
      <c r="S21" s="364">
        <f>P21+R21</f>
        <v>6583660</v>
      </c>
      <c r="T21" s="367" t="e">
        <f>CEILING(#REF!*1.06,1000)</f>
        <v>#REF!</v>
      </c>
      <c r="U21" s="367" t="s">
        <v>267</v>
      </c>
      <c r="V21" s="367" t="s">
        <v>297</v>
      </c>
      <c r="W21" s="367">
        <v>13158000</v>
      </c>
      <c r="X21" s="367">
        <v>11057000</v>
      </c>
      <c r="Y21" s="367">
        <f>W21-X21</f>
        <v>2101000</v>
      </c>
      <c r="Z21" s="367">
        <f>Y21*45%</f>
        <v>945450</v>
      </c>
      <c r="AA21" s="367">
        <f>SUM(X21,Z21)</f>
        <v>12002450</v>
      </c>
      <c r="AB21" s="367">
        <f>ROUNDUP(AA21,-3)</f>
        <v>12003000</v>
      </c>
      <c r="AC21" s="364">
        <v>12003000</v>
      </c>
      <c r="AD21" s="367"/>
      <c r="AE21" s="367"/>
      <c r="AF21" s="367"/>
      <c r="AG21" s="367">
        <v>1569</v>
      </c>
    </row>
    <row r="22" spans="1:33" ht="12.75">
      <c r="A22" s="364">
        <v>8</v>
      </c>
      <c r="B22" s="364" t="s">
        <v>88</v>
      </c>
      <c r="C22" s="364"/>
      <c r="D22" s="364"/>
      <c r="E22" s="368" t="s">
        <v>338</v>
      </c>
      <c r="F22" s="365" t="s">
        <v>339</v>
      </c>
      <c r="G22" s="365" t="s">
        <v>340</v>
      </c>
      <c r="H22" s="365">
        <v>1</v>
      </c>
      <c r="I22" s="365" t="s">
        <v>30</v>
      </c>
      <c r="J22" s="364"/>
      <c r="K22" s="367"/>
      <c r="L22" s="365"/>
      <c r="M22" s="365"/>
      <c r="N22" s="365"/>
      <c r="O22" s="365"/>
      <c r="P22" s="367"/>
      <c r="Q22" s="367"/>
      <c r="R22" s="364">
        <v>6707000</v>
      </c>
      <c r="S22" s="367">
        <f>CEILING(R22*1.06,1000)</f>
        <v>7110000</v>
      </c>
      <c r="T22" s="367"/>
      <c r="U22" s="367">
        <v>7110000</v>
      </c>
      <c r="V22" s="367" t="s">
        <v>273</v>
      </c>
      <c r="W22" s="367" t="s">
        <v>285</v>
      </c>
      <c r="X22" s="367">
        <v>10675000</v>
      </c>
      <c r="Y22" s="367">
        <v>8970000</v>
      </c>
      <c r="Z22" s="367">
        <f t="shared" si="0"/>
        <v>1705000</v>
      </c>
      <c r="AA22" s="367">
        <f t="shared" si="1"/>
        <v>767250</v>
      </c>
      <c r="AB22" s="367">
        <f t="shared" si="2"/>
        <v>9737250</v>
      </c>
      <c r="AC22" s="367">
        <v>10749000</v>
      </c>
      <c r="AD22" s="367"/>
      <c r="AE22" s="367"/>
      <c r="AF22" s="367"/>
      <c r="AG22" s="367">
        <v>1569</v>
      </c>
    </row>
    <row r="23" spans="1:33" ht="15">
      <c r="A23" s="364">
        <v>9</v>
      </c>
      <c r="B23" s="364" t="s">
        <v>160</v>
      </c>
      <c r="C23" s="351"/>
      <c r="D23" s="369"/>
      <c r="E23" s="368" t="s">
        <v>338</v>
      </c>
      <c r="F23" s="365" t="s">
        <v>339</v>
      </c>
      <c r="G23" s="365" t="s">
        <v>340</v>
      </c>
      <c r="H23" s="365">
        <v>2</v>
      </c>
      <c r="I23" s="365" t="s">
        <v>30</v>
      </c>
      <c r="J23" s="364"/>
      <c r="K23" s="364">
        <v>3089000</v>
      </c>
      <c r="L23" s="365">
        <f>K23*1.0829</f>
        <v>3345078.1</v>
      </c>
      <c r="M23" s="365">
        <f>CEILING(L23*1.03,1000)</f>
        <v>3446000</v>
      </c>
      <c r="N23" s="365">
        <v>3446000</v>
      </c>
      <c r="O23" s="367">
        <v>6013000</v>
      </c>
      <c r="P23" s="367">
        <v>3446000</v>
      </c>
      <c r="Q23" s="367">
        <f>O23-P23</f>
        <v>2567000</v>
      </c>
      <c r="R23" s="364">
        <f>Q23*0.38</f>
        <v>975460</v>
      </c>
      <c r="S23" s="364">
        <f>P23+R23</f>
        <v>4421460</v>
      </c>
      <c r="T23" s="364">
        <v>6013000</v>
      </c>
      <c r="U23" s="367">
        <f>CEILING(T23*1.06,1000)</f>
        <v>6374000</v>
      </c>
      <c r="V23" s="367" t="s">
        <v>262</v>
      </c>
      <c r="W23" s="367" t="s">
        <v>287</v>
      </c>
      <c r="X23" s="367">
        <v>9569000</v>
      </c>
      <c r="Y23" s="367">
        <v>8041000</v>
      </c>
      <c r="Z23" s="367">
        <f t="shared" si="0"/>
        <v>1528000</v>
      </c>
      <c r="AA23" s="367">
        <f t="shared" si="1"/>
        <v>687600</v>
      </c>
      <c r="AB23" s="367">
        <f t="shared" si="2"/>
        <v>8728600</v>
      </c>
      <c r="AC23" s="367">
        <v>7258000</v>
      </c>
      <c r="AD23" s="367"/>
      <c r="AE23" s="367"/>
      <c r="AF23" s="367"/>
      <c r="AG23" s="367">
        <v>1406</v>
      </c>
    </row>
    <row r="24" spans="1:33" ht="12.75">
      <c r="A24" s="364">
        <v>10</v>
      </c>
      <c r="B24" s="364" t="s">
        <v>484</v>
      </c>
      <c r="C24" s="364"/>
      <c r="D24" s="369"/>
      <c r="E24" s="368" t="s">
        <v>338</v>
      </c>
      <c r="F24" s="365" t="s">
        <v>339</v>
      </c>
      <c r="G24" s="365" t="s">
        <v>340</v>
      </c>
      <c r="H24" s="365">
        <v>2</v>
      </c>
      <c r="I24" s="365" t="s">
        <v>30</v>
      </c>
      <c r="J24" s="364"/>
      <c r="K24" s="364"/>
      <c r="L24" s="365"/>
      <c r="M24" s="365"/>
      <c r="N24" s="365"/>
      <c r="O24" s="367"/>
      <c r="P24" s="367"/>
      <c r="Q24" s="367"/>
      <c r="R24" s="364"/>
      <c r="S24" s="364"/>
      <c r="T24" s="364"/>
      <c r="U24" s="367"/>
      <c r="V24" s="367"/>
      <c r="W24" s="367"/>
      <c r="X24" s="367"/>
      <c r="Y24" s="367"/>
      <c r="Z24" s="367"/>
      <c r="AA24" s="367"/>
      <c r="AB24" s="367"/>
      <c r="AC24" s="367">
        <v>9738000</v>
      </c>
      <c r="AD24" s="367"/>
      <c r="AE24" s="367"/>
      <c r="AF24" s="367"/>
      <c r="AG24" s="367">
        <v>1406</v>
      </c>
    </row>
    <row r="25" spans="1:33" ht="12.75">
      <c r="A25" s="364">
        <v>11</v>
      </c>
      <c r="B25" s="364" t="s">
        <v>495</v>
      </c>
      <c r="C25" s="364"/>
      <c r="D25" s="364"/>
      <c r="E25" s="368" t="s">
        <v>338</v>
      </c>
      <c r="F25" s="365" t="s">
        <v>339</v>
      </c>
      <c r="G25" s="365" t="s">
        <v>344</v>
      </c>
      <c r="H25" s="365">
        <v>2</v>
      </c>
      <c r="I25" s="365" t="s">
        <v>30</v>
      </c>
      <c r="J25" s="364"/>
      <c r="K25" s="364">
        <v>3089000</v>
      </c>
      <c r="L25" s="365">
        <f>K25*1.0829</f>
        <v>3345078.1</v>
      </c>
      <c r="M25" s="365">
        <f>CEILING(L25*1.03,1000)</f>
        <v>3446000</v>
      </c>
      <c r="N25" s="365">
        <v>3446000</v>
      </c>
      <c r="O25" s="367">
        <v>6013000</v>
      </c>
      <c r="P25" s="367">
        <v>4295000</v>
      </c>
      <c r="Q25" s="367">
        <f>O25-P25</f>
        <v>1718000</v>
      </c>
      <c r="R25" s="364">
        <f>Q25*0.38</f>
        <v>652840</v>
      </c>
      <c r="S25" s="364">
        <f>P25+R25</f>
        <v>4947840</v>
      </c>
      <c r="T25" s="364">
        <v>3900000</v>
      </c>
      <c r="U25" s="367">
        <f>CEILING(T25*1.06,1000)</f>
        <v>4134000</v>
      </c>
      <c r="V25" s="367" t="s">
        <v>261</v>
      </c>
      <c r="W25" s="367" t="s">
        <v>286</v>
      </c>
      <c r="X25" s="367">
        <v>6208000</v>
      </c>
      <c r="Y25" s="367">
        <v>5216000</v>
      </c>
      <c r="Z25" s="367">
        <f t="shared" si="0"/>
        <v>992000</v>
      </c>
      <c r="AA25" s="367">
        <f t="shared" si="1"/>
        <v>446400</v>
      </c>
      <c r="AB25" s="367">
        <f t="shared" si="2"/>
        <v>5662400</v>
      </c>
      <c r="AC25" s="367">
        <v>5663000</v>
      </c>
      <c r="AD25" s="367"/>
      <c r="AE25" s="367"/>
      <c r="AF25" s="367"/>
      <c r="AG25" s="367">
        <v>799</v>
      </c>
    </row>
    <row r="26" spans="1:33" ht="12.75">
      <c r="A26" s="364">
        <v>12</v>
      </c>
      <c r="B26" s="364" t="s">
        <v>497</v>
      </c>
      <c r="C26" s="364"/>
      <c r="D26" s="364"/>
      <c r="E26" s="368" t="s">
        <v>338</v>
      </c>
      <c r="F26" s="365" t="s">
        <v>339</v>
      </c>
      <c r="G26" s="365" t="s">
        <v>344</v>
      </c>
      <c r="H26" s="365">
        <v>3</v>
      </c>
      <c r="I26" s="365" t="s">
        <v>30</v>
      </c>
      <c r="J26" s="364"/>
      <c r="K26" s="364">
        <v>3089000</v>
      </c>
      <c r="L26" s="365">
        <f>K26*1.0829</f>
        <v>3345078.1</v>
      </c>
      <c r="M26" s="365">
        <f>CEILING(L26*1.03,1000)</f>
        <v>3446000</v>
      </c>
      <c r="N26" s="365">
        <v>4414000</v>
      </c>
      <c r="O26" s="367">
        <v>3900000</v>
      </c>
      <c r="P26" s="367">
        <v>3443000</v>
      </c>
      <c r="Q26" s="367">
        <f>O26-P26</f>
        <v>457000</v>
      </c>
      <c r="R26" s="364">
        <f>Q26*0.38</f>
        <v>173660</v>
      </c>
      <c r="S26" s="364">
        <f>P26+R26</f>
        <v>3616660</v>
      </c>
      <c r="T26" s="364">
        <v>3900000</v>
      </c>
      <c r="U26" s="367">
        <f>CEILING(T26*1.06,1000)</f>
        <v>4134000</v>
      </c>
      <c r="V26" s="367" t="s">
        <v>261</v>
      </c>
      <c r="W26" s="367" t="s">
        <v>286</v>
      </c>
      <c r="X26" s="367">
        <v>6208000</v>
      </c>
      <c r="Y26" s="367">
        <v>5216000</v>
      </c>
      <c r="Z26" s="367">
        <f>X26-Y26</f>
        <v>992000</v>
      </c>
      <c r="AA26" s="367">
        <f t="shared" si="1"/>
        <v>446400</v>
      </c>
      <c r="AB26" s="367">
        <f t="shared" si="2"/>
        <v>5662400</v>
      </c>
      <c r="AC26" s="367">
        <v>4375000</v>
      </c>
      <c r="AD26" s="367"/>
      <c r="AE26" s="367"/>
      <c r="AF26" s="367"/>
      <c r="AG26" s="367">
        <v>742</v>
      </c>
    </row>
    <row r="27" spans="1:33" ht="12.75">
      <c r="A27" s="364">
        <v>13</v>
      </c>
      <c r="B27" s="364" t="s">
        <v>498</v>
      </c>
      <c r="C27" s="364"/>
      <c r="D27" s="364"/>
      <c r="E27" s="368" t="s">
        <v>338</v>
      </c>
      <c r="F27" s="365" t="s">
        <v>339</v>
      </c>
      <c r="G27" s="365" t="s">
        <v>344</v>
      </c>
      <c r="H27" s="365">
        <v>3</v>
      </c>
      <c r="I27" s="365" t="s">
        <v>30</v>
      </c>
      <c r="J27" s="364"/>
      <c r="K27" s="364"/>
      <c r="L27" s="365"/>
      <c r="M27" s="365"/>
      <c r="N27" s="365"/>
      <c r="O27" s="367"/>
      <c r="P27" s="367"/>
      <c r="Q27" s="367"/>
      <c r="R27" s="364"/>
      <c r="S27" s="364"/>
      <c r="T27" s="364"/>
      <c r="U27" s="367"/>
      <c r="V27" s="367"/>
      <c r="W27" s="367"/>
      <c r="X27" s="367"/>
      <c r="Y27" s="367"/>
      <c r="Z27" s="367"/>
      <c r="AA27" s="367"/>
      <c r="AB27" s="367"/>
      <c r="AC27" s="367">
        <v>4375000</v>
      </c>
      <c r="AD27" s="367"/>
      <c r="AE27" s="367"/>
      <c r="AF27" s="367"/>
      <c r="AG27" s="367">
        <v>742</v>
      </c>
    </row>
    <row r="28" spans="2:33" ht="12.75">
      <c r="B28" s="352" t="s">
        <v>359</v>
      </c>
      <c r="C28" s="352"/>
      <c r="L28" s="66"/>
      <c r="M28" s="66"/>
      <c r="N28" s="66"/>
      <c r="O28" s="81"/>
      <c r="P28" s="81"/>
      <c r="Q28" s="81"/>
      <c r="U28" s="81"/>
      <c r="V28" s="81"/>
      <c r="W28" s="81"/>
      <c r="X28" s="81"/>
      <c r="Y28" s="81"/>
      <c r="Z28" s="81">
        <f>X28-Y28</f>
        <v>0</v>
      </c>
      <c r="AA28" s="81">
        <f t="shared" si="1"/>
        <v>0</v>
      </c>
      <c r="AB28" s="81"/>
      <c r="AC28" s="81"/>
      <c r="AD28" s="81"/>
      <c r="AE28" s="81"/>
      <c r="AF28" s="81"/>
      <c r="AG28" s="81"/>
    </row>
    <row r="29" spans="1:33" ht="12.75">
      <c r="A29" s="364">
        <v>14</v>
      </c>
      <c r="B29" s="364" t="s">
        <v>218</v>
      </c>
      <c r="C29" s="364"/>
      <c r="D29" s="364"/>
      <c r="E29" s="368" t="s">
        <v>338</v>
      </c>
      <c r="F29" s="365" t="s">
        <v>339</v>
      </c>
      <c r="G29" s="365" t="s">
        <v>340</v>
      </c>
      <c r="H29" s="365">
        <v>1</v>
      </c>
      <c r="I29" s="365" t="s">
        <v>30</v>
      </c>
      <c r="J29" s="364"/>
      <c r="K29" s="364"/>
      <c r="L29" s="365"/>
      <c r="M29" s="365"/>
      <c r="N29" s="365"/>
      <c r="O29" s="365"/>
      <c r="P29" s="367"/>
      <c r="Q29" s="367"/>
      <c r="R29" s="364"/>
      <c r="S29" s="364"/>
      <c r="T29" s="367">
        <v>7405000</v>
      </c>
      <c r="U29" s="367">
        <f>CEILING(T29*1.06,1000)</f>
        <v>7850000</v>
      </c>
      <c r="V29" s="367" t="s">
        <v>270</v>
      </c>
      <c r="W29" s="367" t="s">
        <v>300</v>
      </c>
      <c r="X29" s="367">
        <v>11784000</v>
      </c>
      <c r="Y29" s="367">
        <v>9902000</v>
      </c>
      <c r="Z29" s="367">
        <f>X29-Y29</f>
        <v>1882000</v>
      </c>
      <c r="AA29" s="367">
        <f>Z29*45%</f>
        <v>846900</v>
      </c>
      <c r="AB29" s="367">
        <f>SUM(Y29,AA29)</f>
        <v>10748900</v>
      </c>
      <c r="AC29" s="367">
        <f>ROUNDUP(AB29,-3)</f>
        <v>10749000</v>
      </c>
      <c r="AD29" s="367"/>
      <c r="AE29" s="367"/>
      <c r="AF29" s="367"/>
      <c r="AG29" s="367">
        <v>1569</v>
      </c>
    </row>
    <row r="30" spans="1:33" ht="12.75">
      <c r="A30" s="364">
        <v>15</v>
      </c>
      <c r="B30" s="364" t="s">
        <v>125</v>
      </c>
      <c r="C30" s="364"/>
      <c r="D30" s="364"/>
      <c r="E30" s="368" t="s">
        <v>338</v>
      </c>
      <c r="F30" s="365" t="s">
        <v>339</v>
      </c>
      <c r="G30" s="365" t="s">
        <v>343</v>
      </c>
      <c r="H30" s="365">
        <v>2</v>
      </c>
      <c r="I30" s="365" t="s">
        <v>30</v>
      </c>
      <c r="J30" s="364"/>
      <c r="K30" s="364">
        <v>2433000</v>
      </c>
      <c r="L30" s="365">
        <f>K30*1.0829</f>
        <v>2634695.6999999997</v>
      </c>
      <c r="M30" s="365">
        <f>CEILING(L30*1.03,1000)</f>
        <v>2714000</v>
      </c>
      <c r="N30" s="365">
        <v>3257000</v>
      </c>
      <c r="O30" s="367">
        <v>4532000</v>
      </c>
      <c r="P30" s="367">
        <f>CEILING(N30*1.12,1000)</f>
        <v>3648000</v>
      </c>
      <c r="Q30" s="367">
        <f>O30-P30</f>
        <v>884000</v>
      </c>
      <c r="R30" s="364">
        <f>Q30*0.38</f>
        <v>335920</v>
      </c>
      <c r="S30" s="364">
        <f>P30+R30</f>
        <v>3983920</v>
      </c>
      <c r="T30" s="364">
        <v>4532000</v>
      </c>
      <c r="U30" s="367">
        <f>CEILING(T30*1.06,1000)</f>
        <v>4804000</v>
      </c>
      <c r="V30" s="367" t="s">
        <v>258</v>
      </c>
      <c r="W30" s="367" t="s">
        <v>293</v>
      </c>
      <c r="X30" s="367">
        <v>7201000</v>
      </c>
      <c r="Y30" s="367">
        <v>6316000</v>
      </c>
      <c r="Z30" s="367">
        <f>X30-Y30</f>
        <v>885000</v>
      </c>
      <c r="AA30" s="367">
        <f>Z30*45%</f>
        <v>398250</v>
      </c>
      <c r="AB30" s="367">
        <f>SUM(Y30,AA30)</f>
        <v>6714250</v>
      </c>
      <c r="AC30" s="367">
        <f>ROUNDUP(AB30,-3)</f>
        <v>6715000</v>
      </c>
      <c r="AD30" s="367"/>
      <c r="AE30" s="367"/>
      <c r="AF30" s="367"/>
      <c r="AG30" s="367">
        <v>1026</v>
      </c>
    </row>
    <row r="31" spans="1:33" ht="12.75">
      <c r="A31" s="364">
        <v>16</v>
      </c>
      <c r="B31" s="364" t="s">
        <v>496</v>
      </c>
      <c r="C31" s="364"/>
      <c r="D31" s="364"/>
      <c r="E31" s="368" t="s">
        <v>338</v>
      </c>
      <c r="F31" s="365" t="s">
        <v>339</v>
      </c>
      <c r="G31" s="365" t="s">
        <v>344</v>
      </c>
      <c r="H31" s="365">
        <v>2</v>
      </c>
      <c r="I31" s="365" t="s">
        <v>30</v>
      </c>
      <c r="J31" s="364"/>
      <c r="K31" s="364"/>
      <c r="L31" s="365"/>
      <c r="M31" s="365"/>
      <c r="N31" s="365"/>
      <c r="O31" s="367"/>
      <c r="P31" s="367"/>
      <c r="Q31" s="367"/>
      <c r="R31" s="364"/>
      <c r="S31" s="364"/>
      <c r="T31" s="364"/>
      <c r="U31" s="367"/>
      <c r="V31" s="367"/>
      <c r="W31" s="367"/>
      <c r="X31" s="367"/>
      <c r="Y31" s="367"/>
      <c r="Z31" s="367"/>
      <c r="AA31" s="367"/>
      <c r="AB31" s="367"/>
      <c r="AC31" s="367">
        <v>5663000</v>
      </c>
      <c r="AD31" s="367"/>
      <c r="AE31" s="367"/>
      <c r="AF31" s="367"/>
      <c r="AG31" s="367">
        <v>799</v>
      </c>
    </row>
    <row r="32" spans="2:33" ht="12.75">
      <c r="B32" s="352" t="s">
        <v>595</v>
      </c>
      <c r="C32" s="352"/>
      <c r="E32" s="138"/>
      <c r="L32" s="66"/>
      <c r="M32" s="66"/>
      <c r="N32" s="66"/>
      <c r="O32" s="81"/>
      <c r="P32" s="81"/>
      <c r="Q32" s="81"/>
      <c r="U32" s="81"/>
      <c r="V32" s="81"/>
      <c r="W32" s="81"/>
      <c r="X32" s="81"/>
      <c r="Y32" s="81"/>
      <c r="Z32" s="81"/>
      <c r="AA32" s="81"/>
      <c r="AB32" s="81"/>
      <c r="AC32" s="81"/>
      <c r="AD32" s="81"/>
      <c r="AE32" s="81"/>
      <c r="AF32" s="81"/>
      <c r="AG32" s="81"/>
    </row>
    <row r="33" spans="1:33" ht="12.75">
      <c r="A33" s="364">
        <v>17</v>
      </c>
      <c r="B33" s="364" t="s">
        <v>360</v>
      </c>
      <c r="C33" s="364"/>
      <c r="D33" s="364"/>
      <c r="E33" s="368"/>
      <c r="F33" s="365"/>
      <c r="G33" s="365"/>
      <c r="H33" s="365"/>
      <c r="I33" s="365"/>
      <c r="J33" s="368"/>
      <c r="K33" s="364">
        <v>3089000</v>
      </c>
      <c r="L33" s="365">
        <f>K33*1.0829</f>
        <v>3345078.1</v>
      </c>
      <c r="M33" s="365">
        <f>CEILING(L33*1.03,1000)</f>
        <v>3446000</v>
      </c>
      <c r="N33" s="367">
        <v>4414000</v>
      </c>
      <c r="O33" s="367">
        <v>7405000</v>
      </c>
      <c r="P33" s="367">
        <f>CEILING(N33*1.12,1000)</f>
        <v>4944000</v>
      </c>
      <c r="Q33" s="367">
        <f>O33-P33</f>
        <v>2461000</v>
      </c>
      <c r="R33" s="364">
        <f>Q33*0.38</f>
        <v>935180</v>
      </c>
      <c r="S33" s="364">
        <f>P33+R33</f>
        <v>5879180</v>
      </c>
      <c r="T33" s="364">
        <v>7405000</v>
      </c>
      <c r="U33" s="367">
        <f>CEILING(T33*1.06,1000)</f>
        <v>7850000</v>
      </c>
      <c r="V33" s="367" t="s">
        <v>270</v>
      </c>
      <c r="W33" s="367" t="s">
        <v>291</v>
      </c>
      <c r="X33" s="367">
        <v>11784000</v>
      </c>
      <c r="Y33" s="367">
        <v>9902000</v>
      </c>
      <c r="Z33" s="367">
        <f>X33-Y33</f>
        <v>1882000</v>
      </c>
      <c r="AA33" s="367">
        <f>Z33*45%</f>
        <v>846900</v>
      </c>
      <c r="AB33" s="367">
        <f>SUM(Y33,AA33)</f>
        <v>10748900</v>
      </c>
      <c r="AC33" s="367">
        <v>5934000</v>
      </c>
      <c r="AD33" s="368" t="s">
        <v>582</v>
      </c>
      <c r="AE33" s="367" t="s">
        <v>339</v>
      </c>
      <c r="AF33" s="367" t="s">
        <v>30</v>
      </c>
      <c r="AG33" s="367">
        <v>1243</v>
      </c>
    </row>
    <row r="34" spans="1:33" ht="12.75">
      <c r="A34" s="364">
        <v>18</v>
      </c>
      <c r="B34" s="364" t="s">
        <v>361</v>
      </c>
      <c r="C34" s="364"/>
      <c r="D34" s="364"/>
      <c r="E34" s="368"/>
      <c r="F34" s="365"/>
      <c r="G34" s="365"/>
      <c r="H34" s="365"/>
      <c r="I34" s="365"/>
      <c r="J34" s="368"/>
      <c r="K34" s="364"/>
      <c r="L34" s="364"/>
      <c r="M34" s="364"/>
      <c r="N34" s="367">
        <v>3834000</v>
      </c>
      <c r="O34" s="367">
        <v>6707000</v>
      </c>
      <c r="P34" s="367">
        <v>3966000</v>
      </c>
      <c r="Q34" s="367">
        <f>O34-P34</f>
        <v>2741000</v>
      </c>
      <c r="R34" s="364">
        <f>Q34*0.38</f>
        <v>1041580</v>
      </c>
      <c r="S34" s="364">
        <f>P34+R34</f>
        <v>5007580</v>
      </c>
      <c r="T34" s="364">
        <v>6707000</v>
      </c>
      <c r="U34" s="367">
        <v>6707000</v>
      </c>
      <c r="V34" s="367" t="s">
        <v>271</v>
      </c>
      <c r="W34" s="367" t="s">
        <v>290</v>
      </c>
      <c r="X34" s="367">
        <v>10675000</v>
      </c>
      <c r="Y34" s="367">
        <v>8970000</v>
      </c>
      <c r="Z34" s="367">
        <f>X34-Y34</f>
        <v>1705000</v>
      </c>
      <c r="AA34" s="367">
        <f>Z34*45%</f>
        <v>767250</v>
      </c>
      <c r="AB34" s="367">
        <f>SUM(Y34,AA34)</f>
        <v>9737250</v>
      </c>
      <c r="AC34" s="367">
        <v>5097200</v>
      </c>
      <c r="AD34" s="368" t="s">
        <v>567</v>
      </c>
      <c r="AE34" s="367" t="s">
        <v>551</v>
      </c>
      <c r="AF34" s="367" t="s">
        <v>553</v>
      </c>
      <c r="AG34" s="367">
        <v>725</v>
      </c>
    </row>
    <row r="35" spans="2:33" ht="12.75">
      <c r="B35" s="352" t="s">
        <v>362</v>
      </c>
      <c r="E35" s="138"/>
      <c r="N35" s="81"/>
      <c r="O35" s="81"/>
      <c r="P35" s="81"/>
      <c r="Q35" s="81"/>
      <c r="U35" s="81"/>
      <c r="V35" s="81"/>
      <c r="W35" s="81"/>
      <c r="X35" s="81"/>
      <c r="Y35" s="81"/>
      <c r="Z35" s="81"/>
      <c r="AA35" s="81"/>
      <c r="AB35" s="81"/>
      <c r="AC35" s="81"/>
      <c r="AD35" s="81"/>
      <c r="AE35" s="81"/>
      <c r="AF35" s="81"/>
      <c r="AG35" s="81"/>
    </row>
    <row r="36" spans="1:33" ht="12.75">
      <c r="A36" s="364">
        <v>19</v>
      </c>
      <c r="B36" s="364" t="s">
        <v>363</v>
      </c>
      <c r="C36" s="364"/>
      <c r="D36" s="364"/>
      <c r="E36" s="368" t="s">
        <v>338</v>
      </c>
      <c r="F36" s="365" t="s">
        <v>339</v>
      </c>
      <c r="G36" s="365" t="s">
        <v>340</v>
      </c>
      <c r="H36" s="365">
        <v>1</v>
      </c>
      <c r="I36" s="365" t="s">
        <v>30</v>
      </c>
      <c r="J36" s="364"/>
      <c r="K36" s="364">
        <v>2857000</v>
      </c>
      <c r="L36" s="365">
        <f>K36*1.0829</f>
        <v>3093845.3</v>
      </c>
      <c r="M36" s="365">
        <f>CEILING(L36*1.03,1000)</f>
        <v>3187000</v>
      </c>
      <c r="N36" s="365">
        <v>3546000</v>
      </c>
      <c r="O36" s="367">
        <v>7405000</v>
      </c>
      <c r="P36" s="367">
        <f>CEILING(N36*1.12,1000)</f>
        <v>3972000</v>
      </c>
      <c r="Q36" s="367">
        <f>O36-P36</f>
        <v>3433000</v>
      </c>
      <c r="R36" s="364">
        <f>Q36*0.38</f>
        <v>1304540</v>
      </c>
      <c r="S36" s="364">
        <f>P36+R36</f>
        <v>5276540</v>
      </c>
      <c r="T36" s="364">
        <v>7405000</v>
      </c>
      <c r="U36" s="367">
        <f>CEILING(T36*1.06,1000)</f>
        <v>7850000</v>
      </c>
      <c r="V36" s="367" t="s">
        <v>253</v>
      </c>
      <c r="W36" s="367" t="s">
        <v>292</v>
      </c>
      <c r="X36" s="367">
        <v>11289000</v>
      </c>
      <c r="Y36" s="367">
        <v>9902000</v>
      </c>
      <c r="Z36" s="367">
        <f>X36-Y36</f>
        <v>1387000</v>
      </c>
      <c r="AA36" s="367">
        <f>Z36*45%</f>
        <v>624150</v>
      </c>
      <c r="AB36" s="367">
        <f>SUM(Y36,AA36)</f>
        <v>10526150</v>
      </c>
      <c r="AC36" s="367">
        <v>10749000</v>
      </c>
      <c r="AD36" s="367"/>
      <c r="AE36" s="367"/>
      <c r="AF36" s="367"/>
      <c r="AG36" s="367">
        <v>1569</v>
      </c>
    </row>
    <row r="37" spans="1:34" ht="12.75">
      <c r="A37" s="364">
        <v>20</v>
      </c>
      <c r="B37" s="364" t="s">
        <v>219</v>
      </c>
      <c r="C37" s="364"/>
      <c r="D37" s="364"/>
      <c r="E37" s="368" t="s">
        <v>338</v>
      </c>
      <c r="F37" s="365" t="s">
        <v>339</v>
      </c>
      <c r="G37" s="365" t="s">
        <v>344</v>
      </c>
      <c r="H37" s="365">
        <v>1</v>
      </c>
      <c r="I37" s="365" t="s">
        <v>30</v>
      </c>
      <c r="J37" s="364"/>
      <c r="K37" s="364"/>
      <c r="L37" s="365"/>
      <c r="M37" s="365"/>
      <c r="N37" s="365"/>
      <c r="O37" s="365"/>
      <c r="P37" s="367"/>
      <c r="Q37" s="367"/>
      <c r="R37" s="364"/>
      <c r="S37" s="364"/>
      <c r="T37" s="364">
        <v>3916000</v>
      </c>
      <c r="U37" s="367">
        <f>CEILING(T37*1.06,1000)</f>
        <v>4151000</v>
      </c>
      <c r="V37" s="367" t="s">
        <v>259</v>
      </c>
      <c r="W37" s="367" t="s">
        <v>304</v>
      </c>
      <c r="X37" s="367">
        <v>6223000</v>
      </c>
      <c r="Y37" s="367">
        <v>5458000</v>
      </c>
      <c r="Z37" s="367">
        <f>X37-Y37</f>
        <v>765000</v>
      </c>
      <c r="AA37" s="367">
        <f>Z37*45%</f>
        <v>344250</v>
      </c>
      <c r="AB37" s="367">
        <f>SUM(Y37,AA37)</f>
        <v>5802250</v>
      </c>
      <c r="AC37" s="367">
        <f>ROUNDUP(AB37,-3)</f>
        <v>5803000</v>
      </c>
      <c r="AD37" s="367"/>
      <c r="AE37" s="367"/>
      <c r="AF37" s="367"/>
      <c r="AG37" s="367">
        <v>856</v>
      </c>
      <c r="AH37" s="145"/>
    </row>
    <row r="38" spans="1:33" ht="12.75">
      <c r="A38" s="364">
        <v>21</v>
      </c>
      <c r="B38" s="368" t="s">
        <v>527</v>
      </c>
      <c r="C38" s="368"/>
      <c r="D38" s="364"/>
      <c r="E38" s="364" t="s">
        <v>507</v>
      </c>
      <c r="F38" s="365" t="s">
        <v>339</v>
      </c>
      <c r="G38" s="365" t="s">
        <v>600</v>
      </c>
      <c r="H38" s="365">
        <v>2</v>
      </c>
      <c r="I38" s="365" t="s">
        <v>30</v>
      </c>
      <c r="J38" s="368"/>
      <c r="K38" s="364"/>
      <c r="L38" s="365"/>
      <c r="M38" s="365"/>
      <c r="N38" s="367"/>
      <c r="O38" s="367"/>
      <c r="P38" s="367"/>
      <c r="Q38" s="367"/>
      <c r="R38" s="364"/>
      <c r="S38" s="364"/>
      <c r="T38" s="364"/>
      <c r="U38" s="367"/>
      <c r="V38" s="367"/>
      <c r="W38" s="367"/>
      <c r="X38" s="367"/>
      <c r="Y38" s="367"/>
      <c r="Z38" s="367"/>
      <c r="AA38" s="367"/>
      <c r="AB38" s="367"/>
      <c r="AC38" s="367">
        <v>7258000</v>
      </c>
      <c r="AD38" s="367"/>
      <c r="AE38" s="367"/>
      <c r="AF38" s="367"/>
      <c r="AG38" s="367">
        <v>2167</v>
      </c>
    </row>
    <row r="39" spans="1:33" ht="12.75">
      <c r="A39" s="89"/>
      <c r="B39" s="352" t="s">
        <v>587</v>
      </c>
      <c r="C39" s="391"/>
      <c r="D39" s="89"/>
      <c r="E39" s="89"/>
      <c r="F39" s="172"/>
      <c r="G39" s="172"/>
      <c r="H39" s="172"/>
      <c r="I39" s="172"/>
      <c r="J39" s="391"/>
      <c r="K39" s="89"/>
      <c r="L39" s="172"/>
      <c r="M39" s="172"/>
      <c r="N39" s="234"/>
      <c r="O39" s="234"/>
      <c r="P39" s="234"/>
      <c r="Q39" s="234"/>
      <c r="R39" s="89"/>
      <c r="S39" s="89"/>
      <c r="T39" s="89"/>
      <c r="U39" s="234"/>
      <c r="V39" s="234"/>
      <c r="W39" s="234"/>
      <c r="X39" s="234"/>
      <c r="Y39" s="234"/>
      <c r="Z39" s="234"/>
      <c r="AA39" s="234"/>
      <c r="AB39" s="234"/>
      <c r="AC39" s="234"/>
      <c r="AD39" s="234"/>
      <c r="AE39" s="234"/>
      <c r="AF39" s="234"/>
      <c r="AG39" s="234"/>
    </row>
    <row r="40" spans="1:33" ht="12.75">
      <c r="A40" s="364">
        <v>22</v>
      </c>
      <c r="B40" s="364" t="s">
        <v>217</v>
      </c>
      <c r="C40" s="364"/>
      <c r="D40" s="369"/>
      <c r="E40" s="368" t="s">
        <v>338</v>
      </c>
      <c r="F40" s="365" t="s">
        <v>339</v>
      </c>
      <c r="G40" s="365" t="s">
        <v>340</v>
      </c>
      <c r="H40" s="365">
        <v>3</v>
      </c>
      <c r="I40" s="365" t="s">
        <v>30</v>
      </c>
      <c r="J40" s="364"/>
      <c r="K40" s="364"/>
      <c r="L40" s="365"/>
      <c r="M40" s="365"/>
      <c r="N40" s="365"/>
      <c r="O40" s="367"/>
      <c r="P40" s="367"/>
      <c r="Q40" s="367"/>
      <c r="R40" s="364"/>
      <c r="S40" s="364"/>
      <c r="T40" s="364"/>
      <c r="U40" s="367"/>
      <c r="V40" s="367"/>
      <c r="W40" s="367"/>
      <c r="X40" s="367"/>
      <c r="Y40" s="367"/>
      <c r="Z40" s="367"/>
      <c r="AA40" s="367"/>
      <c r="AB40" s="367"/>
      <c r="AC40" s="367">
        <v>9738000</v>
      </c>
      <c r="AD40" s="367"/>
      <c r="AE40" s="367"/>
      <c r="AF40" s="367"/>
      <c r="AG40" s="367">
        <v>1274</v>
      </c>
    </row>
    <row r="41" spans="1:33" ht="12.75">
      <c r="A41" s="364">
        <v>23</v>
      </c>
      <c r="B41" s="364" t="s">
        <v>217</v>
      </c>
      <c r="C41" s="281"/>
      <c r="D41" s="281"/>
      <c r="E41" s="368" t="s">
        <v>338</v>
      </c>
      <c r="F41" s="365" t="s">
        <v>339</v>
      </c>
      <c r="G41" s="365" t="s">
        <v>343</v>
      </c>
      <c r="H41" s="365">
        <v>3</v>
      </c>
      <c r="I41" s="365" t="s">
        <v>30</v>
      </c>
      <c r="J41" s="281"/>
      <c r="K41" s="281"/>
      <c r="L41" s="365"/>
      <c r="M41" s="365"/>
      <c r="N41" s="365"/>
      <c r="O41" s="365"/>
      <c r="P41" s="365"/>
      <c r="Q41" s="367"/>
      <c r="R41" s="281"/>
      <c r="S41" s="281"/>
      <c r="T41" s="281"/>
      <c r="U41" s="367"/>
      <c r="V41" s="367"/>
      <c r="W41" s="367"/>
      <c r="X41" s="367"/>
      <c r="Y41" s="367"/>
      <c r="Z41" s="367"/>
      <c r="AA41" s="367"/>
      <c r="AB41" s="367"/>
      <c r="AC41" s="367"/>
      <c r="AD41" s="367"/>
      <c r="AE41" s="367"/>
      <c r="AF41" s="367"/>
      <c r="AG41" s="367">
        <v>950</v>
      </c>
    </row>
    <row r="42" spans="1:33" ht="12.75">
      <c r="A42" s="364">
        <v>24</v>
      </c>
      <c r="B42" s="364" t="s">
        <v>217</v>
      </c>
      <c r="C42" s="364"/>
      <c r="D42" s="364"/>
      <c r="E42" s="368" t="s">
        <v>338</v>
      </c>
      <c r="F42" s="365" t="s">
        <v>339</v>
      </c>
      <c r="G42" s="365" t="s">
        <v>344</v>
      </c>
      <c r="H42" s="365">
        <v>3</v>
      </c>
      <c r="I42" s="365" t="s">
        <v>30</v>
      </c>
      <c r="J42" s="364"/>
      <c r="K42" s="364">
        <v>3089000</v>
      </c>
      <c r="L42" s="365">
        <f>K42*1.0829</f>
        <v>3345078.1</v>
      </c>
      <c r="M42" s="365">
        <f>CEILING(L42*1.03,1000)</f>
        <v>3446000</v>
      </c>
      <c r="N42" s="365">
        <v>4414000</v>
      </c>
      <c r="O42" s="367">
        <v>3900000</v>
      </c>
      <c r="P42" s="367">
        <v>3443000</v>
      </c>
      <c r="Q42" s="367">
        <f>O42-P42</f>
        <v>457000</v>
      </c>
      <c r="R42" s="364">
        <f>Q42*0.38</f>
        <v>173660</v>
      </c>
      <c r="S42" s="364">
        <f>P42+R42</f>
        <v>3616660</v>
      </c>
      <c r="T42" s="364">
        <v>3900000</v>
      </c>
      <c r="U42" s="367">
        <f>CEILING(T42*1.06,1000)</f>
        <v>4134000</v>
      </c>
      <c r="V42" s="367" t="s">
        <v>261</v>
      </c>
      <c r="W42" s="367" t="s">
        <v>286</v>
      </c>
      <c r="X42" s="367">
        <v>6208000</v>
      </c>
      <c r="Y42" s="367">
        <v>5216000</v>
      </c>
      <c r="Z42" s="367">
        <f>X42-Y42</f>
        <v>992000</v>
      </c>
      <c r="AA42" s="367">
        <f>Z42*45%</f>
        <v>446400</v>
      </c>
      <c r="AB42" s="367">
        <f>SUM(Y42,AA42)</f>
        <v>5662400</v>
      </c>
      <c r="AC42" s="367">
        <v>4375000</v>
      </c>
      <c r="AD42" s="367"/>
      <c r="AE42" s="367"/>
      <c r="AF42" s="367"/>
      <c r="AG42" s="367">
        <v>742</v>
      </c>
    </row>
    <row r="44" spans="2:33" ht="15">
      <c r="B44" s="351" t="s">
        <v>536</v>
      </c>
      <c r="C44" s="351"/>
      <c r="E44" s="295"/>
      <c r="AA44" s="81"/>
      <c r="AB44" s="81"/>
      <c r="AC44" s="81"/>
      <c r="AD44" s="294"/>
      <c r="AE44" s="294"/>
      <c r="AF44" s="294"/>
      <c r="AG44" s="294"/>
    </row>
    <row r="45" spans="1:36" s="104" customFormat="1" ht="12.75">
      <c r="A45" s="281">
        <v>25</v>
      </c>
      <c r="B45" s="281" t="s">
        <v>568</v>
      </c>
      <c r="C45" s="281"/>
      <c r="D45" s="281"/>
      <c r="E45" s="368" t="s">
        <v>413</v>
      </c>
      <c r="F45" s="365" t="s">
        <v>339</v>
      </c>
      <c r="G45" s="365" t="s">
        <v>340</v>
      </c>
      <c r="H45" s="365">
        <v>1</v>
      </c>
      <c r="I45" s="365" t="s">
        <v>30</v>
      </c>
      <c r="J45" s="281"/>
      <c r="K45" s="281">
        <v>4023000</v>
      </c>
      <c r="L45" s="365">
        <f>K45*1.0829</f>
        <v>4356506.7</v>
      </c>
      <c r="M45" s="365">
        <f>CEILING(L45*1.03,1000)</f>
        <v>4488000</v>
      </c>
      <c r="N45" s="281">
        <v>4724000</v>
      </c>
      <c r="O45" s="281"/>
      <c r="P45" s="365">
        <f>CEILING(N45*1.12,1000)</f>
        <v>5291000</v>
      </c>
      <c r="Q45" s="367">
        <f>O45-P45</f>
        <v>-5291000</v>
      </c>
      <c r="R45" s="281">
        <f>Q45*0.38</f>
        <v>-2010580</v>
      </c>
      <c r="S45" s="281">
        <f>P45+R45</f>
        <v>3280420</v>
      </c>
      <c r="T45" s="281">
        <v>8200000</v>
      </c>
      <c r="U45" s="367">
        <f>CEILING(T45*1.06,1000)</f>
        <v>8692000</v>
      </c>
      <c r="V45" s="367" t="s">
        <v>310</v>
      </c>
      <c r="W45" s="367" t="s">
        <v>313</v>
      </c>
      <c r="X45" s="282">
        <v>13158000</v>
      </c>
      <c r="Y45" s="367">
        <v>11057000</v>
      </c>
      <c r="Z45" s="367">
        <f>X45-Y45</f>
        <v>2101000</v>
      </c>
      <c r="AA45" s="367">
        <f>Z45*45%</f>
        <v>945450</v>
      </c>
      <c r="AB45" s="367">
        <f>SUM(Y45,AA45)</f>
        <v>12002450</v>
      </c>
      <c r="AC45" s="367">
        <f>ROUNDUP(AB45,-3)</f>
        <v>12003000</v>
      </c>
      <c r="AD45" s="367"/>
      <c r="AE45" s="367"/>
      <c r="AF45" s="367"/>
      <c r="AG45" s="367">
        <v>1569</v>
      </c>
      <c r="AH45" s="223"/>
      <c r="AI45" s="223"/>
      <c r="AJ45" s="223"/>
    </row>
    <row r="46" spans="1:33" ht="12.75">
      <c r="A46" s="281">
        <v>26</v>
      </c>
      <c r="B46" s="281" t="s">
        <v>412</v>
      </c>
      <c r="C46" s="281"/>
      <c r="D46" s="281"/>
      <c r="E46" s="368" t="s">
        <v>413</v>
      </c>
      <c r="F46" s="365" t="s">
        <v>339</v>
      </c>
      <c r="G46" s="365" t="s">
        <v>340</v>
      </c>
      <c r="H46" s="365">
        <v>1</v>
      </c>
      <c r="I46" s="365" t="s">
        <v>30</v>
      </c>
      <c r="J46" s="281"/>
      <c r="K46" s="281">
        <v>2624000</v>
      </c>
      <c r="L46" s="365">
        <f>K46*1.0829</f>
        <v>2841529.6</v>
      </c>
      <c r="M46" s="365">
        <f>CEILING(L46*1.03,1000)</f>
        <v>2927000</v>
      </c>
      <c r="N46" s="367">
        <v>4178000</v>
      </c>
      <c r="O46" s="367"/>
      <c r="P46" s="365">
        <f>CEILING(N46*1.12,1000)</f>
        <v>4680000</v>
      </c>
      <c r="Q46" s="365"/>
      <c r="R46" s="365"/>
      <c r="S46" s="365"/>
      <c r="T46" s="367">
        <v>7405000</v>
      </c>
      <c r="U46" s="367">
        <f>CEILING(T46*1.06,1000)</f>
        <v>7850000</v>
      </c>
      <c r="V46" s="367" t="s">
        <v>311</v>
      </c>
      <c r="W46" s="367" t="s">
        <v>314</v>
      </c>
      <c r="X46" s="282">
        <v>11784000</v>
      </c>
      <c r="Y46" s="367">
        <v>9902000</v>
      </c>
      <c r="Z46" s="367">
        <f>X46-Y46</f>
        <v>1882000</v>
      </c>
      <c r="AA46" s="367">
        <f>Z46*45%</f>
        <v>846900</v>
      </c>
      <c r="AB46" s="367">
        <f>SUM(Y46,AA46)</f>
        <v>10748900</v>
      </c>
      <c r="AC46" s="367">
        <f>ROUNDUP(AB46,-3)</f>
        <v>10749000</v>
      </c>
      <c r="AD46" s="367"/>
      <c r="AE46" s="367"/>
      <c r="AF46" s="367"/>
      <c r="AG46" s="367">
        <v>1569</v>
      </c>
    </row>
    <row r="47" spans="1:33" ht="12.75">
      <c r="A47" s="281">
        <v>27</v>
      </c>
      <c r="B47" s="281" t="s">
        <v>236</v>
      </c>
      <c r="C47" s="281"/>
      <c r="D47" s="281"/>
      <c r="E47" s="368" t="s">
        <v>413</v>
      </c>
      <c r="F47" s="365" t="s">
        <v>339</v>
      </c>
      <c r="G47" s="365" t="s">
        <v>343</v>
      </c>
      <c r="H47" s="365">
        <v>3</v>
      </c>
      <c r="I47" s="365" t="s">
        <v>30</v>
      </c>
      <c r="J47" s="281"/>
      <c r="K47" s="281">
        <v>2624000</v>
      </c>
      <c r="L47" s="365">
        <f>K47*1.0829</f>
        <v>2841529.6</v>
      </c>
      <c r="M47" s="365">
        <f>CEILING(L47*1.03,1000)</f>
        <v>2927000</v>
      </c>
      <c r="N47" s="367">
        <v>3257000</v>
      </c>
      <c r="O47" s="367"/>
      <c r="P47" s="365">
        <f>CEILING(N47*1.12,1000)</f>
        <v>3648000</v>
      </c>
      <c r="Q47" s="365"/>
      <c r="R47" s="365"/>
      <c r="S47" s="365"/>
      <c r="T47" s="367">
        <v>6707000</v>
      </c>
      <c r="U47" s="367">
        <v>4452000</v>
      </c>
      <c r="V47" s="367" t="s">
        <v>312</v>
      </c>
      <c r="W47" s="367" t="s">
        <v>315</v>
      </c>
      <c r="X47" s="282">
        <v>7162000</v>
      </c>
      <c r="Y47" s="367">
        <v>6018000</v>
      </c>
      <c r="Z47" s="367">
        <f>X47-Y47</f>
        <v>1144000</v>
      </c>
      <c r="AA47" s="367">
        <f>Z47*45%</f>
        <v>514800</v>
      </c>
      <c r="AB47" s="367">
        <f>SUM(Y47,AA47)</f>
        <v>6532800</v>
      </c>
      <c r="AC47" s="367">
        <f>ROUNDUP(AB47,-3)</f>
        <v>6533000</v>
      </c>
      <c r="AD47" s="367"/>
      <c r="AE47" s="367"/>
      <c r="AF47" s="367"/>
      <c r="AG47" s="367">
        <v>950</v>
      </c>
    </row>
    <row r="48" spans="1:33" ht="12.75">
      <c r="A48" s="14"/>
      <c r="B48" s="14"/>
      <c r="C48" s="14"/>
      <c r="D48" s="14"/>
      <c r="E48" s="391"/>
      <c r="F48" s="172"/>
      <c r="G48" s="172"/>
      <c r="H48" s="172"/>
      <c r="I48" s="172"/>
      <c r="J48" s="14"/>
      <c r="K48" s="14"/>
      <c r="L48" s="172"/>
      <c r="M48" s="172"/>
      <c r="N48" s="234"/>
      <c r="O48" s="234"/>
      <c r="P48" s="172"/>
      <c r="Q48" s="172"/>
      <c r="R48" s="172"/>
      <c r="S48" s="172"/>
      <c r="T48" s="234"/>
      <c r="U48" s="234"/>
      <c r="V48" s="234"/>
      <c r="W48" s="234"/>
      <c r="X48" s="2"/>
      <c r="Y48" s="234"/>
      <c r="Z48" s="234"/>
      <c r="AA48" s="234"/>
      <c r="AB48" s="234"/>
      <c r="AC48" s="234"/>
      <c r="AD48" s="234"/>
      <c r="AE48" s="234"/>
      <c r="AF48" s="234"/>
      <c r="AG48" s="234"/>
    </row>
    <row r="49" spans="1:33" ht="12.75">
      <c r="A49" s="14"/>
      <c r="B49" s="14"/>
      <c r="C49" s="14"/>
      <c r="D49" s="14"/>
      <c r="E49" s="391"/>
      <c r="F49" s="172"/>
      <c r="G49" s="172"/>
      <c r="H49" s="172"/>
      <c r="I49" s="172"/>
      <c r="J49" s="14"/>
      <c r="K49" s="14"/>
      <c r="L49" s="172"/>
      <c r="M49" s="172"/>
      <c r="N49" s="234"/>
      <c r="O49" s="234"/>
      <c r="P49" s="172"/>
      <c r="Q49" s="172"/>
      <c r="R49" s="172"/>
      <c r="S49" s="172"/>
      <c r="T49" s="234"/>
      <c r="U49" s="234"/>
      <c r="V49" s="234"/>
      <c r="W49" s="234"/>
      <c r="X49" s="2"/>
      <c r="Y49" s="234"/>
      <c r="Z49" s="234"/>
      <c r="AA49" s="234"/>
      <c r="AB49" s="234"/>
      <c r="AC49" s="234"/>
      <c r="AD49" s="234"/>
      <c r="AE49" s="234"/>
      <c r="AF49" s="234"/>
      <c r="AG49" s="234"/>
    </row>
    <row r="50" spans="1:33" ht="12.75">
      <c r="A50" s="14"/>
      <c r="B50" s="14"/>
      <c r="C50" s="14"/>
      <c r="D50" s="14"/>
      <c r="E50" s="391"/>
      <c r="F50" s="172"/>
      <c r="G50" s="172"/>
      <c r="H50" s="172"/>
      <c r="I50" s="172"/>
      <c r="J50" s="14"/>
      <c r="K50" s="14"/>
      <c r="L50" s="172"/>
      <c r="M50" s="172"/>
      <c r="N50" s="234"/>
      <c r="O50" s="234"/>
      <c r="P50" s="172"/>
      <c r="Q50" s="172"/>
      <c r="R50" s="172"/>
      <c r="S50" s="172"/>
      <c r="T50" s="234"/>
      <c r="U50" s="234"/>
      <c r="V50" s="234"/>
      <c r="W50" s="234"/>
      <c r="X50" s="2"/>
      <c r="Y50" s="234"/>
      <c r="Z50" s="234"/>
      <c r="AA50" s="234"/>
      <c r="AB50" s="234"/>
      <c r="AC50" s="234"/>
      <c r="AD50" s="234"/>
      <c r="AE50" s="234"/>
      <c r="AF50" s="234"/>
      <c r="AG50" s="234"/>
    </row>
    <row r="51" spans="2:10" ht="15">
      <c r="B51" s="351" t="s">
        <v>455</v>
      </c>
      <c r="C51" s="351"/>
      <c r="J51" s="66"/>
    </row>
    <row r="52" spans="1:33" ht="12.75">
      <c r="A52" s="364">
        <v>28</v>
      </c>
      <c r="B52" s="364" t="s">
        <v>78</v>
      </c>
      <c r="C52" s="364"/>
      <c r="D52" s="364" t="s">
        <v>33</v>
      </c>
      <c r="E52" s="370" t="s">
        <v>349</v>
      </c>
      <c r="F52" s="365" t="s">
        <v>339</v>
      </c>
      <c r="G52" s="365" t="s">
        <v>340</v>
      </c>
      <c r="H52" s="365">
        <v>1</v>
      </c>
      <c r="I52" s="365" t="s">
        <v>30</v>
      </c>
      <c r="J52" s="364"/>
      <c r="K52" s="367">
        <v>4023000</v>
      </c>
      <c r="L52" s="365">
        <f>K52*1.0829</f>
        <v>4356506.7</v>
      </c>
      <c r="M52" s="367">
        <v>13158000</v>
      </c>
      <c r="N52" s="367">
        <v>11057000</v>
      </c>
      <c r="O52" s="367">
        <f>SUM(M52-N52)</f>
        <v>2101000</v>
      </c>
      <c r="P52" s="367">
        <f>O52*45%</f>
        <v>945450</v>
      </c>
      <c r="Q52" s="367">
        <f aca="true" t="shared" si="3" ref="Q52:Q59">SUM(N52,P52)</f>
        <v>12002450</v>
      </c>
      <c r="R52" s="367">
        <f>ROUNDUP(Q52,-3)</f>
        <v>12003000</v>
      </c>
      <c r="S52" s="367">
        <v>1465</v>
      </c>
      <c r="T52" s="364"/>
      <c r="U52" s="364"/>
      <c r="V52" s="364"/>
      <c r="W52" s="364"/>
      <c r="X52" s="364"/>
      <c r="Y52" s="364"/>
      <c r="Z52" s="364"/>
      <c r="AA52" s="364"/>
      <c r="AB52" s="364"/>
      <c r="AC52" s="364"/>
      <c r="AD52" s="364"/>
      <c r="AE52" s="364"/>
      <c r="AF52" s="364"/>
      <c r="AG52" s="367">
        <v>1569</v>
      </c>
    </row>
    <row r="53" spans="1:33" ht="12.75">
      <c r="A53" s="364">
        <v>29</v>
      </c>
      <c r="B53" s="364" t="s">
        <v>569</v>
      </c>
      <c r="C53" s="364"/>
      <c r="D53" s="364"/>
      <c r="E53" s="370" t="s">
        <v>349</v>
      </c>
      <c r="F53" s="365" t="s">
        <v>339</v>
      </c>
      <c r="G53" s="365" t="s">
        <v>340</v>
      </c>
      <c r="H53" s="365">
        <v>1</v>
      </c>
      <c r="I53" s="365" t="s">
        <v>30</v>
      </c>
      <c r="J53" s="364"/>
      <c r="K53" s="367">
        <v>3089000</v>
      </c>
      <c r="L53" s="365">
        <f>K53*1.0829</f>
        <v>3345078.1</v>
      </c>
      <c r="M53" s="367">
        <v>11784000</v>
      </c>
      <c r="N53" s="367">
        <v>9902000</v>
      </c>
      <c r="O53" s="367">
        <f>SUM(M53-N53)</f>
        <v>1882000</v>
      </c>
      <c r="P53" s="367">
        <f>O53*45%</f>
        <v>846900</v>
      </c>
      <c r="Q53" s="367">
        <f t="shared" si="3"/>
        <v>10748900</v>
      </c>
      <c r="R53" s="367">
        <f>ROUNDUP(Q53,-3)</f>
        <v>10749000</v>
      </c>
      <c r="S53" s="367">
        <v>1465</v>
      </c>
      <c r="T53" s="364"/>
      <c r="U53" s="364"/>
      <c r="V53" s="364"/>
      <c r="W53" s="364"/>
      <c r="X53" s="364"/>
      <c r="Y53" s="364"/>
      <c r="Z53" s="364"/>
      <c r="AA53" s="364"/>
      <c r="AB53" s="364"/>
      <c r="AC53" s="364"/>
      <c r="AD53" s="364"/>
      <c r="AE53" s="364"/>
      <c r="AF53" s="364"/>
      <c r="AG53" s="367">
        <v>1569</v>
      </c>
    </row>
    <row r="54" spans="1:33" ht="12.75">
      <c r="A54" s="364">
        <v>30</v>
      </c>
      <c r="B54" s="364" t="s">
        <v>80</v>
      </c>
      <c r="C54" s="364"/>
      <c r="D54" s="364"/>
      <c r="E54" s="370" t="s">
        <v>373</v>
      </c>
      <c r="F54" s="365" t="s">
        <v>339</v>
      </c>
      <c r="G54" s="365" t="s">
        <v>340</v>
      </c>
      <c r="H54" s="365">
        <v>2</v>
      </c>
      <c r="I54" s="365" t="s">
        <v>30</v>
      </c>
      <c r="J54" s="364"/>
      <c r="K54" s="367">
        <v>2624000</v>
      </c>
      <c r="L54" s="365">
        <f>K54*1.0829</f>
        <v>2841529.6</v>
      </c>
      <c r="M54" s="367">
        <v>9569000</v>
      </c>
      <c r="N54" s="367">
        <v>8041000</v>
      </c>
      <c r="O54" s="367">
        <f>SUM(M54-N54)</f>
        <v>1528000</v>
      </c>
      <c r="P54" s="367">
        <f>O54*45%</f>
        <v>687600</v>
      </c>
      <c r="Q54" s="367">
        <f t="shared" si="3"/>
        <v>8728600</v>
      </c>
      <c r="R54" s="367">
        <f>ROUNDUP(Q54,-3)</f>
        <v>8729000</v>
      </c>
      <c r="S54" s="367">
        <v>1190</v>
      </c>
      <c r="T54" s="364"/>
      <c r="U54" s="364"/>
      <c r="V54" s="364"/>
      <c r="W54" s="364"/>
      <c r="X54" s="364"/>
      <c r="Y54" s="364"/>
      <c r="Z54" s="364"/>
      <c r="AA54" s="364"/>
      <c r="AB54" s="364"/>
      <c r="AC54" s="364"/>
      <c r="AD54" s="364"/>
      <c r="AE54" s="364"/>
      <c r="AF54" s="364"/>
      <c r="AG54" s="367">
        <v>1406</v>
      </c>
    </row>
    <row r="55" spans="1:33" ht="12.75">
      <c r="A55" s="364">
        <v>31</v>
      </c>
      <c r="B55" s="364" t="s">
        <v>521</v>
      </c>
      <c r="C55" s="364"/>
      <c r="D55" s="364"/>
      <c r="E55" s="370" t="s">
        <v>373</v>
      </c>
      <c r="F55" s="365" t="s">
        <v>339</v>
      </c>
      <c r="G55" s="365" t="s">
        <v>344</v>
      </c>
      <c r="H55" s="365">
        <v>3</v>
      </c>
      <c r="I55" s="365" t="s">
        <v>30</v>
      </c>
      <c r="J55" s="364"/>
      <c r="K55" s="364">
        <v>4023000</v>
      </c>
      <c r="L55" s="365">
        <f>K55*1.0829</f>
        <v>4356506.7</v>
      </c>
      <c r="M55" s="367">
        <v>6208000</v>
      </c>
      <c r="N55" s="367">
        <v>5216000</v>
      </c>
      <c r="O55" s="367">
        <f>SUM(M55-N55)</f>
        <v>992000</v>
      </c>
      <c r="P55" s="367">
        <f>O55*45%</f>
        <v>446400</v>
      </c>
      <c r="Q55" s="367">
        <f t="shared" si="3"/>
        <v>5662400</v>
      </c>
      <c r="R55" s="367">
        <v>5663000</v>
      </c>
      <c r="S55" s="367">
        <v>693</v>
      </c>
      <c r="T55" s="364"/>
      <c r="U55" s="364"/>
      <c r="V55" s="364"/>
      <c r="W55" s="364"/>
      <c r="X55" s="364"/>
      <c r="Y55" s="364"/>
      <c r="Z55" s="364"/>
      <c r="AA55" s="364"/>
      <c r="AB55" s="364"/>
      <c r="AC55" s="371"/>
      <c r="AD55" s="371"/>
      <c r="AE55" s="371"/>
      <c r="AF55" s="371"/>
      <c r="AG55" s="367">
        <v>742</v>
      </c>
    </row>
    <row r="56" spans="1:33" ht="12.75">
      <c r="A56" s="364">
        <v>32</v>
      </c>
      <c r="B56" s="364" t="s">
        <v>217</v>
      </c>
      <c r="C56" s="364"/>
      <c r="D56" s="364"/>
      <c r="E56" s="368" t="s">
        <v>373</v>
      </c>
      <c r="F56" s="365" t="s">
        <v>339</v>
      </c>
      <c r="G56" s="365" t="s">
        <v>344</v>
      </c>
      <c r="H56" s="365">
        <v>3</v>
      </c>
      <c r="I56" s="365" t="s">
        <v>30</v>
      </c>
      <c r="J56" s="364"/>
      <c r="K56" s="365">
        <v>4488000</v>
      </c>
      <c r="L56" s="367">
        <v>3650000</v>
      </c>
      <c r="M56" s="367">
        <v>4775000</v>
      </c>
      <c r="N56" s="367">
        <v>4046000</v>
      </c>
      <c r="O56" s="367">
        <f>SUM(M56-N56)</f>
        <v>729000</v>
      </c>
      <c r="P56" s="367">
        <f>O56*45%</f>
        <v>328050</v>
      </c>
      <c r="Q56" s="367">
        <f>SUM(N56,P56)</f>
        <v>4374050</v>
      </c>
      <c r="R56" s="367">
        <v>5663000</v>
      </c>
      <c r="S56" s="367">
        <v>693</v>
      </c>
      <c r="T56" s="364"/>
      <c r="U56" s="364"/>
      <c r="V56" s="364"/>
      <c r="W56" s="364"/>
      <c r="X56" s="364"/>
      <c r="Y56" s="364"/>
      <c r="Z56" s="364"/>
      <c r="AA56" s="364"/>
      <c r="AB56" s="364"/>
      <c r="AC56" s="365"/>
      <c r="AD56" s="365"/>
      <c r="AE56" s="365"/>
      <c r="AF56" s="365"/>
      <c r="AG56" s="367">
        <v>742</v>
      </c>
    </row>
    <row r="57" spans="1:33" ht="12.75">
      <c r="A57" s="364">
        <v>33</v>
      </c>
      <c r="B57" s="364" t="s">
        <v>217</v>
      </c>
      <c r="C57" s="364"/>
      <c r="D57" s="364"/>
      <c r="E57" s="368" t="s">
        <v>373</v>
      </c>
      <c r="F57" s="365" t="s">
        <v>339</v>
      </c>
      <c r="G57" s="365" t="s">
        <v>344</v>
      </c>
      <c r="H57" s="365">
        <v>3</v>
      </c>
      <c r="I57" s="365" t="s">
        <v>30</v>
      </c>
      <c r="J57" s="364"/>
      <c r="K57" s="365"/>
      <c r="L57" s="367"/>
      <c r="M57" s="367"/>
      <c r="N57" s="367"/>
      <c r="O57" s="367"/>
      <c r="P57" s="367"/>
      <c r="Q57" s="367"/>
      <c r="R57" s="367">
        <v>5663000</v>
      </c>
      <c r="S57" s="367">
        <v>693</v>
      </c>
      <c r="T57" s="364"/>
      <c r="U57" s="364"/>
      <c r="V57" s="364"/>
      <c r="W57" s="364"/>
      <c r="X57" s="364"/>
      <c r="Y57" s="364"/>
      <c r="Z57" s="364"/>
      <c r="AA57" s="364"/>
      <c r="AB57" s="364"/>
      <c r="AC57" s="364"/>
      <c r="AD57" s="364"/>
      <c r="AE57" s="364"/>
      <c r="AF57" s="364"/>
      <c r="AG57" s="367">
        <v>742</v>
      </c>
    </row>
    <row r="58" spans="1:35" ht="12.75">
      <c r="A58" s="364">
        <v>34</v>
      </c>
      <c r="B58" s="364" t="s">
        <v>217</v>
      </c>
      <c r="C58" s="364"/>
      <c r="D58" s="364"/>
      <c r="E58" s="370" t="s">
        <v>338</v>
      </c>
      <c r="F58" s="365" t="s">
        <v>339</v>
      </c>
      <c r="G58" s="365" t="s">
        <v>344</v>
      </c>
      <c r="H58" s="365">
        <v>3</v>
      </c>
      <c r="I58" s="365" t="s">
        <v>30</v>
      </c>
      <c r="J58" s="364"/>
      <c r="K58" s="367">
        <v>1400000</v>
      </c>
      <c r="L58" s="365">
        <v>1400000</v>
      </c>
      <c r="M58" s="367">
        <v>13158000</v>
      </c>
      <c r="N58" s="367">
        <v>11057000</v>
      </c>
      <c r="O58" s="367">
        <f>SUM(M58-N58)</f>
        <v>2101000</v>
      </c>
      <c r="P58" s="367">
        <f>O58*45%</f>
        <v>945450</v>
      </c>
      <c r="Q58" s="367">
        <f>SUM(N58,P58)</f>
        <v>12002450</v>
      </c>
      <c r="R58" s="367">
        <f>ROUNDUP(Q58,-3)</f>
        <v>12003000</v>
      </c>
      <c r="S58" s="367">
        <v>693</v>
      </c>
      <c r="T58" s="364"/>
      <c r="U58" s="364"/>
      <c r="V58" s="364"/>
      <c r="W58" s="364"/>
      <c r="X58" s="364"/>
      <c r="Y58" s="364"/>
      <c r="Z58" s="364"/>
      <c r="AA58" s="364"/>
      <c r="AB58" s="364"/>
      <c r="AC58" s="364"/>
      <c r="AD58" s="365"/>
      <c r="AE58" s="365"/>
      <c r="AF58" s="365"/>
      <c r="AG58" s="367">
        <v>742</v>
      </c>
      <c r="AH58" s="66"/>
      <c r="AI58" s="66"/>
    </row>
    <row r="59" spans="1:35" ht="12.75">
      <c r="A59" s="364">
        <v>35</v>
      </c>
      <c r="B59" s="364" t="s">
        <v>81</v>
      </c>
      <c r="C59" s="364"/>
      <c r="D59" s="364"/>
      <c r="E59" s="370" t="s">
        <v>346</v>
      </c>
      <c r="F59" s="365" t="s">
        <v>345</v>
      </c>
      <c r="G59" s="365" t="s">
        <v>340</v>
      </c>
      <c r="H59" s="365">
        <v>1</v>
      </c>
      <c r="I59" s="365" t="s">
        <v>553</v>
      </c>
      <c r="J59" s="364"/>
      <c r="K59" s="367">
        <v>2624000</v>
      </c>
      <c r="L59" s="365">
        <f>K59*1.0829</f>
        <v>2841529.6</v>
      </c>
      <c r="M59" s="367">
        <v>7201000</v>
      </c>
      <c r="N59" s="367">
        <v>6316000</v>
      </c>
      <c r="O59" s="367">
        <f>SUM(M59-N59)</f>
        <v>885000</v>
      </c>
      <c r="P59" s="367">
        <f>O59*45%</f>
        <v>398250</v>
      </c>
      <c r="Q59" s="367">
        <f t="shared" si="3"/>
        <v>6714250</v>
      </c>
      <c r="R59" s="367">
        <f>ROUNDUP(Q59,-3)</f>
        <v>6715000</v>
      </c>
      <c r="S59" s="367">
        <v>804</v>
      </c>
      <c r="T59" s="364"/>
      <c r="U59" s="364"/>
      <c r="V59" s="364"/>
      <c r="W59" s="364"/>
      <c r="X59" s="364"/>
      <c r="Y59" s="364"/>
      <c r="Z59" s="364"/>
      <c r="AA59" s="364"/>
      <c r="AB59" s="364"/>
      <c r="AC59" s="364"/>
      <c r="AD59" s="365"/>
      <c r="AE59" s="365"/>
      <c r="AF59" s="365"/>
      <c r="AG59" s="367">
        <v>861</v>
      </c>
      <c r="AH59" s="66"/>
      <c r="AI59" s="66"/>
    </row>
    <row r="60" spans="1:33" ht="12.75">
      <c r="A60" s="364">
        <v>36</v>
      </c>
      <c r="B60" s="364" t="s">
        <v>322</v>
      </c>
      <c r="C60" s="364"/>
      <c r="D60" s="364"/>
      <c r="E60" s="364" t="s">
        <v>408</v>
      </c>
      <c r="F60" s="365" t="s">
        <v>345</v>
      </c>
      <c r="G60" s="365" t="s">
        <v>340</v>
      </c>
      <c r="H60" s="365">
        <v>3</v>
      </c>
      <c r="I60" s="365" t="s">
        <v>553</v>
      </c>
      <c r="J60" s="364"/>
      <c r="K60" s="364">
        <v>2119000</v>
      </c>
      <c r="L60" s="365">
        <f>K60*1.0829</f>
        <v>2294665.1</v>
      </c>
      <c r="M60" s="367"/>
      <c r="N60" s="367"/>
      <c r="O60" s="367"/>
      <c r="P60" s="367" t="e">
        <f>CEILING(#REF!*1.06,1000)</f>
        <v>#REF!</v>
      </c>
      <c r="Q60" s="367"/>
      <c r="R60" s="367">
        <v>4445000</v>
      </c>
      <c r="S60" s="367">
        <v>570</v>
      </c>
      <c r="T60" s="364"/>
      <c r="U60" s="364"/>
      <c r="V60" s="364"/>
      <c r="W60" s="364"/>
      <c r="X60" s="364"/>
      <c r="Y60" s="364"/>
      <c r="Z60" s="364"/>
      <c r="AA60" s="364"/>
      <c r="AB60" s="364"/>
      <c r="AC60" s="364"/>
      <c r="AD60" s="364"/>
      <c r="AE60" s="364"/>
      <c r="AF60" s="364"/>
      <c r="AG60" s="367">
        <v>652</v>
      </c>
    </row>
    <row r="61" spans="1:33" ht="12.75">
      <c r="A61" s="89"/>
      <c r="B61" s="89"/>
      <c r="C61" s="89"/>
      <c r="D61" s="89"/>
      <c r="E61" s="89"/>
      <c r="F61" s="172"/>
      <c r="G61" s="172"/>
      <c r="H61" s="172"/>
      <c r="I61" s="172"/>
      <c r="J61" s="89"/>
      <c r="K61" s="89"/>
      <c r="L61" s="172"/>
      <c r="M61" s="234"/>
      <c r="N61" s="234"/>
      <c r="O61" s="234"/>
      <c r="P61" s="234"/>
      <c r="Q61" s="234"/>
      <c r="R61" s="234"/>
      <c r="S61" s="234"/>
      <c r="T61" s="89"/>
      <c r="U61" s="89"/>
      <c r="V61" s="89"/>
      <c r="W61" s="89"/>
      <c r="X61" s="89"/>
      <c r="Y61" s="89"/>
      <c r="Z61" s="89"/>
      <c r="AA61" s="89"/>
      <c r="AB61" s="89"/>
      <c r="AC61" s="89"/>
      <c r="AD61" s="89"/>
      <c r="AE61" s="89"/>
      <c r="AF61" s="89"/>
      <c r="AG61" s="234"/>
    </row>
    <row r="62" spans="1:33" ht="15">
      <c r="A62" s="89"/>
      <c r="B62" s="351" t="s">
        <v>213</v>
      </c>
      <c r="C62" s="89"/>
      <c r="D62" s="89"/>
      <c r="E62" s="89"/>
      <c r="F62" s="172"/>
      <c r="G62" s="172"/>
      <c r="H62" s="172"/>
      <c r="I62" s="172"/>
      <c r="J62" s="89"/>
      <c r="K62" s="89"/>
      <c r="L62" s="172"/>
      <c r="M62" s="234"/>
      <c r="N62" s="234"/>
      <c r="O62" s="234"/>
      <c r="P62" s="234"/>
      <c r="Q62" s="234"/>
      <c r="R62" s="234"/>
      <c r="S62" s="234"/>
      <c r="T62" s="89"/>
      <c r="U62" s="89"/>
      <c r="V62" s="89"/>
      <c r="W62" s="89"/>
      <c r="X62" s="89"/>
      <c r="Y62" s="89"/>
      <c r="Z62" s="89"/>
      <c r="AA62" s="89"/>
      <c r="AB62" s="89"/>
      <c r="AC62" s="89"/>
      <c r="AD62" s="89"/>
      <c r="AE62" s="89"/>
      <c r="AF62" s="89"/>
      <c r="AG62" s="234"/>
    </row>
    <row r="63" spans="1:33" ht="12.75">
      <c r="A63" s="364">
        <v>37</v>
      </c>
      <c r="B63" s="364" t="s">
        <v>29</v>
      </c>
      <c r="C63" s="364"/>
      <c r="D63" s="377" t="s">
        <v>579</v>
      </c>
      <c r="E63" s="388" t="s">
        <v>342</v>
      </c>
      <c r="F63" s="379" t="s">
        <v>339</v>
      </c>
      <c r="G63" s="379" t="s">
        <v>340</v>
      </c>
      <c r="H63" s="379">
        <v>1</v>
      </c>
      <c r="I63" s="365" t="s">
        <v>30</v>
      </c>
      <c r="J63" s="364"/>
      <c r="K63" s="364"/>
      <c r="L63" s="365"/>
      <c r="M63" s="367"/>
      <c r="N63" s="367"/>
      <c r="O63" s="367"/>
      <c r="P63" s="367"/>
      <c r="Q63" s="367"/>
      <c r="R63" s="367"/>
      <c r="S63" s="367"/>
      <c r="T63" s="364"/>
      <c r="U63" s="364"/>
      <c r="V63" s="364"/>
      <c r="W63" s="364"/>
      <c r="X63" s="364"/>
      <c r="Y63" s="364"/>
      <c r="Z63" s="364"/>
      <c r="AA63" s="364"/>
      <c r="AB63" s="364"/>
      <c r="AC63" s="364"/>
      <c r="AD63" s="364"/>
      <c r="AE63" s="364"/>
      <c r="AF63" s="364"/>
      <c r="AG63" s="367">
        <v>1569</v>
      </c>
    </row>
    <row r="64" spans="1:33" ht="12.75">
      <c r="A64" s="89"/>
      <c r="B64" s="352" t="s">
        <v>341</v>
      </c>
      <c r="C64" s="89"/>
      <c r="D64" s="89"/>
      <c r="E64" s="89"/>
      <c r="F64" s="172"/>
      <c r="G64" s="172"/>
      <c r="H64" s="172"/>
      <c r="I64" s="172"/>
      <c r="J64" s="89"/>
      <c r="K64" s="89"/>
      <c r="L64" s="172"/>
      <c r="M64" s="234"/>
      <c r="N64" s="234"/>
      <c r="O64" s="234"/>
      <c r="P64" s="234"/>
      <c r="Q64" s="234"/>
      <c r="R64" s="234"/>
      <c r="S64" s="234"/>
      <c r="T64" s="89"/>
      <c r="U64" s="89"/>
      <c r="V64" s="89"/>
      <c r="W64" s="89"/>
      <c r="X64" s="89"/>
      <c r="Y64" s="89"/>
      <c r="Z64" s="89"/>
      <c r="AA64" s="89"/>
      <c r="AB64" s="89"/>
      <c r="AC64" s="89"/>
      <c r="AD64" s="89"/>
      <c r="AE64" s="89"/>
      <c r="AF64" s="89"/>
      <c r="AG64" s="159"/>
    </row>
    <row r="65" spans="1:33" ht="12.75">
      <c r="A65" s="364">
        <v>38</v>
      </c>
      <c r="B65" s="364" t="s">
        <v>216</v>
      </c>
      <c r="C65" s="364"/>
      <c r="D65" s="377" t="s">
        <v>33</v>
      </c>
      <c r="E65" s="388" t="s">
        <v>342</v>
      </c>
      <c r="F65" s="379" t="s">
        <v>339</v>
      </c>
      <c r="G65" s="379" t="s">
        <v>340</v>
      </c>
      <c r="H65" s="379">
        <v>1</v>
      </c>
      <c r="I65" s="365" t="s">
        <v>30</v>
      </c>
      <c r="J65" s="364"/>
      <c r="K65" s="364"/>
      <c r="L65" s="365"/>
      <c r="M65" s="367"/>
      <c r="N65" s="367"/>
      <c r="O65" s="367"/>
      <c r="P65" s="367"/>
      <c r="Q65" s="367"/>
      <c r="R65" s="367"/>
      <c r="S65" s="367"/>
      <c r="T65" s="364"/>
      <c r="U65" s="364"/>
      <c r="V65" s="364"/>
      <c r="W65" s="364"/>
      <c r="X65" s="364"/>
      <c r="Y65" s="364"/>
      <c r="Z65" s="364"/>
      <c r="AA65" s="364"/>
      <c r="AB65" s="364"/>
      <c r="AC65" s="364"/>
      <c r="AD65" s="364"/>
      <c r="AE65" s="364"/>
      <c r="AF65" s="364"/>
      <c r="AG65" s="367">
        <v>1569</v>
      </c>
    </row>
    <row r="66" spans="1:33" ht="12.75">
      <c r="A66" s="364">
        <v>39</v>
      </c>
      <c r="B66" s="364" t="s">
        <v>205</v>
      </c>
      <c r="C66" s="364"/>
      <c r="D66" s="364"/>
      <c r="E66" s="388" t="s">
        <v>342</v>
      </c>
      <c r="F66" s="379" t="s">
        <v>339</v>
      </c>
      <c r="G66" s="379" t="s">
        <v>340</v>
      </c>
      <c r="H66" s="379">
        <v>2</v>
      </c>
      <c r="I66" s="365" t="s">
        <v>30</v>
      </c>
      <c r="J66" s="364"/>
      <c r="K66" s="364"/>
      <c r="L66" s="365"/>
      <c r="M66" s="367"/>
      <c r="N66" s="367"/>
      <c r="O66" s="367"/>
      <c r="P66" s="367"/>
      <c r="Q66" s="367"/>
      <c r="R66" s="367"/>
      <c r="S66" s="367"/>
      <c r="T66" s="364"/>
      <c r="U66" s="364"/>
      <c r="V66" s="364"/>
      <c r="W66" s="364"/>
      <c r="X66" s="364"/>
      <c r="Y66" s="364"/>
      <c r="Z66" s="364"/>
      <c r="AA66" s="364"/>
      <c r="AB66" s="364"/>
      <c r="AC66" s="364"/>
      <c r="AD66" s="364"/>
      <c r="AE66" s="364"/>
      <c r="AF66" s="364"/>
      <c r="AG66" s="367">
        <v>1406</v>
      </c>
    </row>
    <row r="67" spans="1:33" ht="12.75">
      <c r="A67" s="364">
        <v>40</v>
      </c>
      <c r="B67" s="364" t="s">
        <v>133</v>
      </c>
      <c r="C67" s="364"/>
      <c r="D67" s="364"/>
      <c r="E67" s="388" t="s">
        <v>342</v>
      </c>
      <c r="F67" s="379" t="s">
        <v>339</v>
      </c>
      <c r="G67" s="379" t="s">
        <v>340</v>
      </c>
      <c r="H67" s="379">
        <v>3</v>
      </c>
      <c r="I67" s="365" t="s">
        <v>30</v>
      </c>
      <c r="J67" s="364"/>
      <c r="K67" s="364"/>
      <c r="L67" s="365"/>
      <c r="M67" s="367"/>
      <c r="N67" s="367"/>
      <c r="O67" s="367"/>
      <c r="P67" s="367"/>
      <c r="Q67" s="367"/>
      <c r="R67" s="367"/>
      <c r="S67" s="367"/>
      <c r="T67" s="364"/>
      <c r="U67" s="364"/>
      <c r="V67" s="364"/>
      <c r="W67" s="364"/>
      <c r="X67" s="364"/>
      <c r="Y67" s="364"/>
      <c r="Z67" s="364"/>
      <c r="AA67" s="364"/>
      <c r="AB67" s="364"/>
      <c r="AC67" s="364"/>
      <c r="AD67" s="364"/>
      <c r="AE67" s="364"/>
      <c r="AF67" s="364"/>
      <c r="AG67" s="367">
        <v>1274</v>
      </c>
    </row>
    <row r="68" spans="1:33" ht="12.75">
      <c r="A68" s="364">
        <v>41</v>
      </c>
      <c r="B68" s="364" t="s">
        <v>40</v>
      </c>
      <c r="C68" s="364"/>
      <c r="D68" s="364"/>
      <c r="E68" s="388" t="s">
        <v>342</v>
      </c>
      <c r="F68" s="379" t="s">
        <v>339</v>
      </c>
      <c r="G68" s="379" t="s">
        <v>343</v>
      </c>
      <c r="H68" s="379">
        <v>1</v>
      </c>
      <c r="I68" s="365" t="s">
        <v>30</v>
      </c>
      <c r="J68" s="364"/>
      <c r="K68" s="364"/>
      <c r="L68" s="365"/>
      <c r="M68" s="367"/>
      <c r="N68" s="367"/>
      <c r="O68" s="367"/>
      <c r="P68" s="367"/>
      <c r="Q68" s="367"/>
      <c r="R68" s="367"/>
      <c r="S68" s="367"/>
      <c r="T68" s="364"/>
      <c r="U68" s="364"/>
      <c r="V68" s="364"/>
      <c r="W68" s="364"/>
      <c r="X68" s="364"/>
      <c r="Y68" s="364"/>
      <c r="Z68" s="364"/>
      <c r="AA68" s="364"/>
      <c r="AB68" s="364"/>
      <c r="AC68" s="364"/>
      <c r="AD68" s="364"/>
      <c r="AE68" s="364"/>
      <c r="AF68" s="364"/>
      <c r="AG68" s="367">
        <v>1142</v>
      </c>
    </row>
    <row r="69" spans="1:33" ht="12.75">
      <c r="A69" s="364">
        <v>42</v>
      </c>
      <c r="B69" s="364" t="s">
        <v>591</v>
      </c>
      <c r="C69" s="364"/>
      <c r="D69" s="364"/>
      <c r="E69" s="388" t="s">
        <v>342</v>
      </c>
      <c r="F69" s="379" t="s">
        <v>339</v>
      </c>
      <c r="G69" s="379" t="s">
        <v>343</v>
      </c>
      <c r="H69" s="379">
        <v>3</v>
      </c>
      <c r="I69" s="365" t="s">
        <v>30</v>
      </c>
      <c r="J69" s="364"/>
      <c r="K69" s="364"/>
      <c r="L69" s="365"/>
      <c r="M69" s="367"/>
      <c r="N69" s="367"/>
      <c r="O69" s="367"/>
      <c r="P69" s="367"/>
      <c r="Q69" s="367"/>
      <c r="R69" s="367"/>
      <c r="S69" s="367"/>
      <c r="T69" s="364"/>
      <c r="U69" s="364"/>
      <c r="V69" s="364"/>
      <c r="W69" s="364"/>
      <c r="X69" s="364"/>
      <c r="Y69" s="364"/>
      <c r="Z69" s="364"/>
      <c r="AA69" s="364"/>
      <c r="AB69" s="364"/>
      <c r="AC69" s="364"/>
      <c r="AD69" s="364"/>
      <c r="AE69" s="364"/>
      <c r="AF69" s="364"/>
      <c r="AG69" s="367">
        <v>950</v>
      </c>
    </row>
    <row r="70" spans="1:33" ht="12.75">
      <c r="A70" s="364">
        <v>43</v>
      </c>
      <c r="B70" s="364" t="s">
        <v>499</v>
      </c>
      <c r="C70" s="364"/>
      <c r="D70" s="364"/>
      <c r="E70" s="388" t="s">
        <v>342</v>
      </c>
      <c r="F70" s="379" t="s">
        <v>339</v>
      </c>
      <c r="G70" s="379" t="s">
        <v>344</v>
      </c>
      <c r="H70" s="379">
        <v>2</v>
      </c>
      <c r="I70" s="365" t="s">
        <v>30</v>
      </c>
      <c r="J70" s="364"/>
      <c r="K70" s="364"/>
      <c r="L70" s="365"/>
      <c r="M70" s="367"/>
      <c r="N70" s="367"/>
      <c r="O70" s="367"/>
      <c r="P70" s="367"/>
      <c r="Q70" s="367"/>
      <c r="R70" s="367"/>
      <c r="S70" s="367"/>
      <c r="T70" s="364"/>
      <c r="U70" s="364"/>
      <c r="V70" s="364"/>
      <c r="W70" s="364"/>
      <c r="X70" s="364"/>
      <c r="Y70" s="364"/>
      <c r="Z70" s="364"/>
      <c r="AA70" s="364"/>
      <c r="AB70" s="364"/>
      <c r="AC70" s="364"/>
      <c r="AD70" s="364"/>
      <c r="AE70" s="364"/>
      <c r="AF70" s="364"/>
      <c r="AG70" s="367">
        <v>799</v>
      </c>
    </row>
    <row r="71" spans="1:33" ht="12.75">
      <c r="A71" s="364">
        <v>44</v>
      </c>
      <c r="B71" s="364" t="s">
        <v>500</v>
      </c>
      <c r="C71" s="364"/>
      <c r="D71" s="364"/>
      <c r="E71" s="388" t="s">
        <v>342</v>
      </c>
      <c r="F71" s="379" t="s">
        <v>339</v>
      </c>
      <c r="G71" s="379" t="s">
        <v>344</v>
      </c>
      <c r="H71" s="379">
        <v>2</v>
      </c>
      <c r="I71" s="365" t="s">
        <v>30</v>
      </c>
      <c r="J71" s="364"/>
      <c r="K71" s="364"/>
      <c r="L71" s="365"/>
      <c r="M71" s="367"/>
      <c r="N71" s="367"/>
      <c r="O71" s="367"/>
      <c r="P71" s="367"/>
      <c r="Q71" s="367"/>
      <c r="R71" s="367"/>
      <c r="S71" s="367"/>
      <c r="T71" s="364"/>
      <c r="U71" s="364"/>
      <c r="V71" s="364"/>
      <c r="W71" s="364"/>
      <c r="X71" s="364"/>
      <c r="Y71" s="364"/>
      <c r="Z71" s="364"/>
      <c r="AA71" s="364"/>
      <c r="AB71" s="364"/>
      <c r="AC71" s="364"/>
      <c r="AD71" s="364"/>
      <c r="AE71" s="364"/>
      <c r="AF71" s="364"/>
      <c r="AG71" s="367">
        <v>799</v>
      </c>
    </row>
    <row r="72" spans="1:33" ht="12.75">
      <c r="A72" s="364">
        <v>45</v>
      </c>
      <c r="B72" s="364" t="s">
        <v>217</v>
      </c>
      <c r="C72" s="364"/>
      <c r="D72" s="364"/>
      <c r="E72" s="388" t="s">
        <v>346</v>
      </c>
      <c r="F72" s="379" t="s">
        <v>345</v>
      </c>
      <c r="G72" s="379" t="s">
        <v>343</v>
      </c>
      <c r="H72" s="379">
        <v>3</v>
      </c>
      <c r="I72" s="365" t="s">
        <v>553</v>
      </c>
      <c r="J72" s="364"/>
      <c r="K72" s="364"/>
      <c r="L72" s="365"/>
      <c r="M72" s="367"/>
      <c r="N72" s="367"/>
      <c r="O72" s="367"/>
      <c r="P72" s="367"/>
      <c r="Q72" s="367"/>
      <c r="R72" s="367"/>
      <c r="S72" s="367"/>
      <c r="T72" s="364"/>
      <c r="U72" s="364"/>
      <c r="V72" s="364"/>
      <c r="W72" s="364"/>
      <c r="X72" s="364"/>
      <c r="Y72" s="364"/>
      <c r="Z72" s="364"/>
      <c r="AA72" s="364"/>
      <c r="AB72" s="364"/>
      <c r="AC72" s="364"/>
      <c r="AD72" s="364"/>
      <c r="AE72" s="364"/>
      <c r="AF72" s="364"/>
      <c r="AG72" s="367">
        <v>552</v>
      </c>
    </row>
    <row r="73" spans="1:33" ht="12.75">
      <c r="A73" s="89"/>
      <c r="B73" s="352" t="s">
        <v>347</v>
      </c>
      <c r="C73" s="352"/>
      <c r="D73" s="352"/>
      <c r="E73" s="352"/>
      <c r="F73" s="352"/>
      <c r="G73" s="352"/>
      <c r="H73" s="352"/>
      <c r="I73" s="352"/>
      <c r="J73" s="352"/>
      <c r="K73" s="352"/>
      <c r="L73" s="172"/>
      <c r="M73" s="234"/>
      <c r="N73" s="234"/>
      <c r="O73" s="234"/>
      <c r="P73" s="234"/>
      <c r="Q73" s="234"/>
      <c r="R73" s="234"/>
      <c r="S73" s="234"/>
      <c r="T73" s="89"/>
      <c r="U73" s="89"/>
      <c r="V73" s="89"/>
      <c r="W73" s="89"/>
      <c r="X73" s="89"/>
      <c r="Y73" s="89"/>
      <c r="Z73" s="89"/>
      <c r="AA73" s="89"/>
      <c r="AB73" s="89"/>
      <c r="AC73" s="89"/>
      <c r="AD73" s="89"/>
      <c r="AE73" s="89"/>
      <c r="AF73" s="89"/>
      <c r="AG73" s="159"/>
    </row>
    <row r="74" spans="1:33" ht="12.75">
      <c r="A74" s="364">
        <v>46</v>
      </c>
      <c r="B74" s="364" t="s">
        <v>34</v>
      </c>
      <c r="C74" s="364"/>
      <c r="D74" s="377" t="s">
        <v>33</v>
      </c>
      <c r="E74" s="388" t="s">
        <v>349</v>
      </c>
      <c r="F74" s="379" t="s">
        <v>339</v>
      </c>
      <c r="G74" s="379" t="s">
        <v>340</v>
      </c>
      <c r="H74" s="379">
        <v>1</v>
      </c>
      <c r="I74" s="365" t="s">
        <v>30</v>
      </c>
      <c r="J74" s="364"/>
      <c r="K74" s="364"/>
      <c r="L74" s="365"/>
      <c r="M74" s="367"/>
      <c r="N74" s="367"/>
      <c r="O74" s="367"/>
      <c r="P74" s="367"/>
      <c r="Q74" s="367"/>
      <c r="R74" s="367"/>
      <c r="S74" s="367"/>
      <c r="T74" s="364"/>
      <c r="U74" s="364"/>
      <c r="V74" s="364"/>
      <c r="W74" s="364"/>
      <c r="X74" s="364"/>
      <c r="Y74" s="364"/>
      <c r="Z74" s="364"/>
      <c r="AA74" s="364"/>
      <c r="AB74" s="364"/>
      <c r="AC74" s="364"/>
      <c r="AD74" s="364"/>
      <c r="AE74" s="364"/>
      <c r="AF74" s="364"/>
      <c r="AG74" s="367">
        <v>1569</v>
      </c>
    </row>
    <row r="75" spans="1:33" ht="12.75">
      <c r="A75" s="89"/>
      <c r="B75" s="352" t="s">
        <v>348</v>
      </c>
      <c r="C75" s="89"/>
      <c r="D75" s="89"/>
      <c r="E75" s="89"/>
      <c r="F75" s="172"/>
      <c r="G75" s="172"/>
      <c r="H75" s="172"/>
      <c r="I75" s="172"/>
      <c r="J75" s="89"/>
      <c r="K75" s="89"/>
      <c r="L75" s="172"/>
      <c r="M75" s="234"/>
      <c r="N75" s="234"/>
      <c r="O75" s="234"/>
      <c r="P75" s="234"/>
      <c r="Q75" s="234"/>
      <c r="R75" s="234"/>
      <c r="S75" s="234"/>
      <c r="T75" s="89"/>
      <c r="U75" s="89"/>
      <c r="V75" s="89"/>
      <c r="W75" s="89"/>
      <c r="X75" s="89"/>
      <c r="Y75" s="89"/>
      <c r="Z75" s="89"/>
      <c r="AA75" s="89"/>
      <c r="AB75" s="89"/>
      <c r="AC75" s="89"/>
      <c r="AD75" s="89"/>
      <c r="AE75" s="89"/>
      <c r="AF75" s="89"/>
      <c r="AG75" s="159"/>
    </row>
    <row r="76" spans="1:33" ht="12.75">
      <c r="A76" s="364">
        <v>47</v>
      </c>
      <c r="B76" s="364" t="s">
        <v>35</v>
      </c>
      <c r="C76" s="364"/>
      <c r="D76" s="364"/>
      <c r="E76" s="389" t="s">
        <v>338</v>
      </c>
      <c r="F76" s="379" t="s">
        <v>339</v>
      </c>
      <c r="G76" s="379" t="s">
        <v>340</v>
      </c>
      <c r="H76" s="379">
        <v>1</v>
      </c>
      <c r="I76" s="387" t="s">
        <v>30</v>
      </c>
      <c r="J76" s="364"/>
      <c r="K76" s="364"/>
      <c r="L76" s="365"/>
      <c r="M76" s="367"/>
      <c r="N76" s="367"/>
      <c r="O76" s="367"/>
      <c r="P76" s="367"/>
      <c r="Q76" s="367"/>
      <c r="R76" s="367"/>
      <c r="S76" s="367"/>
      <c r="T76" s="364"/>
      <c r="U76" s="364"/>
      <c r="V76" s="364"/>
      <c r="W76" s="364"/>
      <c r="X76" s="364"/>
      <c r="Y76" s="364"/>
      <c r="Z76" s="364"/>
      <c r="AA76" s="364"/>
      <c r="AB76" s="364"/>
      <c r="AC76" s="364"/>
      <c r="AD76" s="364"/>
      <c r="AE76" s="364"/>
      <c r="AF76" s="364"/>
      <c r="AG76" s="367">
        <v>1569</v>
      </c>
    </row>
    <row r="77" spans="1:33" ht="12.75">
      <c r="A77" s="364">
        <v>48</v>
      </c>
      <c r="B77" s="364" t="s">
        <v>215</v>
      </c>
      <c r="C77" s="364"/>
      <c r="D77" s="364"/>
      <c r="E77" s="388" t="s">
        <v>338</v>
      </c>
      <c r="F77" s="379" t="s">
        <v>339</v>
      </c>
      <c r="G77" s="379" t="s">
        <v>340</v>
      </c>
      <c r="H77" s="379">
        <v>2</v>
      </c>
      <c r="I77" s="387" t="s">
        <v>30</v>
      </c>
      <c r="J77" s="364"/>
      <c r="K77" s="364"/>
      <c r="L77" s="365"/>
      <c r="M77" s="367"/>
      <c r="N77" s="367"/>
      <c r="O77" s="367"/>
      <c r="P77" s="367"/>
      <c r="Q77" s="367"/>
      <c r="R77" s="367"/>
      <c r="S77" s="367"/>
      <c r="T77" s="364"/>
      <c r="U77" s="364"/>
      <c r="V77" s="364"/>
      <c r="W77" s="364"/>
      <c r="X77" s="364"/>
      <c r="Y77" s="364"/>
      <c r="Z77" s="364"/>
      <c r="AA77" s="364"/>
      <c r="AB77" s="364"/>
      <c r="AC77" s="364"/>
      <c r="AD77" s="364"/>
      <c r="AE77" s="364"/>
      <c r="AF77" s="364"/>
      <c r="AG77" s="367">
        <v>1406</v>
      </c>
    </row>
    <row r="78" spans="1:33" ht="12.75">
      <c r="A78" s="364">
        <v>49</v>
      </c>
      <c r="B78" s="364" t="s">
        <v>36</v>
      </c>
      <c r="C78" s="364"/>
      <c r="D78" s="364"/>
      <c r="E78" s="388" t="s">
        <v>338</v>
      </c>
      <c r="F78" s="379" t="s">
        <v>339</v>
      </c>
      <c r="G78" s="379" t="s">
        <v>340</v>
      </c>
      <c r="H78" s="379">
        <v>3</v>
      </c>
      <c r="I78" s="387" t="s">
        <v>30</v>
      </c>
      <c r="J78" s="364"/>
      <c r="K78" s="364"/>
      <c r="L78" s="365"/>
      <c r="M78" s="367"/>
      <c r="N78" s="367"/>
      <c r="O78" s="367"/>
      <c r="P78" s="367"/>
      <c r="Q78" s="367"/>
      <c r="R78" s="367"/>
      <c r="S78" s="367"/>
      <c r="T78" s="364"/>
      <c r="U78" s="364"/>
      <c r="V78" s="364"/>
      <c r="W78" s="364"/>
      <c r="X78" s="364"/>
      <c r="Y78" s="364"/>
      <c r="Z78" s="364"/>
      <c r="AA78" s="364"/>
      <c r="AB78" s="364"/>
      <c r="AC78" s="364"/>
      <c r="AD78" s="364"/>
      <c r="AE78" s="364"/>
      <c r="AF78" s="364"/>
      <c r="AG78" s="367">
        <v>1274</v>
      </c>
    </row>
    <row r="79" spans="1:33" ht="12.75">
      <c r="A79" s="364">
        <v>50</v>
      </c>
      <c r="B79" s="364" t="s">
        <v>351</v>
      </c>
      <c r="C79" s="364"/>
      <c r="D79" s="364"/>
      <c r="E79" s="388" t="s">
        <v>338</v>
      </c>
      <c r="F79" s="379" t="s">
        <v>339</v>
      </c>
      <c r="G79" s="379" t="s">
        <v>340</v>
      </c>
      <c r="H79" s="379">
        <v>3</v>
      </c>
      <c r="I79" s="387" t="s">
        <v>30</v>
      </c>
      <c r="J79" s="364"/>
      <c r="K79" s="364"/>
      <c r="L79" s="365"/>
      <c r="M79" s="367"/>
      <c r="N79" s="367"/>
      <c r="O79" s="367"/>
      <c r="P79" s="367"/>
      <c r="Q79" s="367"/>
      <c r="R79" s="367"/>
      <c r="S79" s="367"/>
      <c r="T79" s="364"/>
      <c r="U79" s="364"/>
      <c r="V79" s="364"/>
      <c r="W79" s="364"/>
      <c r="X79" s="364"/>
      <c r="Y79" s="364"/>
      <c r="Z79" s="364"/>
      <c r="AA79" s="364"/>
      <c r="AB79" s="364"/>
      <c r="AC79" s="364"/>
      <c r="AD79" s="364"/>
      <c r="AE79" s="364"/>
      <c r="AF79" s="364"/>
      <c r="AG79" s="367">
        <v>1274</v>
      </c>
    </row>
    <row r="80" spans="1:33" ht="12.75">
      <c r="A80" s="364">
        <v>51</v>
      </c>
      <c r="B80" s="364" t="s">
        <v>391</v>
      </c>
      <c r="C80" s="364"/>
      <c r="D80" s="364"/>
      <c r="E80" s="388" t="s">
        <v>408</v>
      </c>
      <c r="F80" s="379" t="s">
        <v>345</v>
      </c>
      <c r="G80" s="379" t="s">
        <v>340</v>
      </c>
      <c r="H80" s="379">
        <v>2</v>
      </c>
      <c r="I80" s="365" t="s">
        <v>553</v>
      </c>
      <c r="J80" s="364"/>
      <c r="K80" s="364"/>
      <c r="L80" s="365"/>
      <c r="M80" s="367"/>
      <c r="N80" s="367"/>
      <c r="O80" s="367"/>
      <c r="P80" s="367"/>
      <c r="Q80" s="367"/>
      <c r="R80" s="367"/>
      <c r="S80" s="367"/>
      <c r="T80" s="364"/>
      <c r="U80" s="364"/>
      <c r="V80" s="364"/>
      <c r="W80" s="364"/>
      <c r="X80" s="364"/>
      <c r="Y80" s="364"/>
      <c r="Z80" s="364"/>
      <c r="AA80" s="364"/>
      <c r="AB80" s="364"/>
      <c r="AC80" s="364"/>
      <c r="AD80" s="364"/>
      <c r="AE80" s="364"/>
      <c r="AF80" s="364"/>
      <c r="AG80" s="367">
        <v>744</v>
      </c>
    </row>
    <row r="81" spans="1:33" ht="12.75">
      <c r="A81" s="364">
        <v>52</v>
      </c>
      <c r="B81" s="364" t="s">
        <v>37</v>
      </c>
      <c r="C81" s="364"/>
      <c r="D81" s="364"/>
      <c r="E81" s="388" t="s">
        <v>346</v>
      </c>
      <c r="F81" s="379" t="s">
        <v>345</v>
      </c>
      <c r="G81" s="379" t="s">
        <v>343</v>
      </c>
      <c r="H81" s="379">
        <v>1</v>
      </c>
      <c r="I81" s="365" t="s">
        <v>553</v>
      </c>
      <c r="J81" s="364"/>
      <c r="K81" s="364"/>
      <c r="L81" s="365"/>
      <c r="M81" s="367"/>
      <c r="N81" s="367"/>
      <c r="O81" s="367"/>
      <c r="P81" s="367"/>
      <c r="Q81" s="367"/>
      <c r="R81" s="367"/>
      <c r="S81" s="367"/>
      <c r="T81" s="364"/>
      <c r="U81" s="364"/>
      <c r="V81" s="364"/>
      <c r="W81" s="364"/>
      <c r="X81" s="364"/>
      <c r="Y81" s="364"/>
      <c r="Z81" s="364"/>
      <c r="AA81" s="364"/>
      <c r="AB81" s="364"/>
      <c r="AC81" s="364"/>
      <c r="AD81" s="364"/>
      <c r="AE81" s="364"/>
      <c r="AF81" s="364"/>
      <c r="AG81" s="367">
        <v>610</v>
      </c>
    </row>
    <row r="82" spans="1:33" ht="12.75">
      <c r="A82" s="364">
        <v>53</v>
      </c>
      <c r="B82" s="364" t="s">
        <v>446</v>
      </c>
      <c r="C82" s="364"/>
      <c r="D82" s="364"/>
      <c r="E82" s="388" t="s">
        <v>346</v>
      </c>
      <c r="F82" s="379" t="s">
        <v>345</v>
      </c>
      <c r="G82" s="379" t="s">
        <v>344</v>
      </c>
      <c r="H82" s="379">
        <v>2</v>
      </c>
      <c r="I82" s="365" t="s">
        <v>553</v>
      </c>
      <c r="J82" s="364"/>
      <c r="K82" s="364"/>
      <c r="L82" s="365"/>
      <c r="M82" s="367"/>
      <c r="N82" s="367"/>
      <c r="O82" s="367"/>
      <c r="P82" s="367"/>
      <c r="Q82" s="367"/>
      <c r="R82" s="367"/>
      <c r="S82" s="367"/>
      <c r="T82" s="364"/>
      <c r="U82" s="364"/>
      <c r="V82" s="364"/>
      <c r="W82" s="364"/>
      <c r="X82" s="364"/>
      <c r="Y82" s="364"/>
      <c r="Z82" s="364"/>
      <c r="AA82" s="364"/>
      <c r="AB82" s="364"/>
      <c r="AC82" s="364"/>
      <c r="AD82" s="364"/>
      <c r="AE82" s="364"/>
      <c r="AF82" s="364"/>
      <c r="AG82" s="367">
        <v>522</v>
      </c>
    </row>
    <row r="83" spans="1:33" ht="12.75">
      <c r="A83" s="89"/>
      <c r="B83" s="352" t="s">
        <v>352</v>
      </c>
      <c r="C83" s="89"/>
      <c r="D83" s="89"/>
      <c r="E83" s="89"/>
      <c r="F83" s="172"/>
      <c r="G83" s="172"/>
      <c r="H83" s="172"/>
      <c r="I83" s="172"/>
      <c r="J83" s="89"/>
      <c r="K83" s="89"/>
      <c r="L83" s="172"/>
      <c r="M83" s="234"/>
      <c r="N83" s="234"/>
      <c r="O83" s="234"/>
      <c r="P83" s="234"/>
      <c r="Q83" s="234"/>
      <c r="R83" s="234"/>
      <c r="S83" s="234"/>
      <c r="T83" s="89"/>
      <c r="U83" s="89"/>
      <c r="V83" s="89"/>
      <c r="W83" s="89"/>
      <c r="X83" s="89"/>
      <c r="Y83" s="89"/>
      <c r="Z83" s="89"/>
      <c r="AA83" s="89"/>
      <c r="AB83" s="89"/>
      <c r="AC83" s="89"/>
      <c r="AD83" s="89"/>
      <c r="AE83" s="89"/>
      <c r="AF83" s="89"/>
      <c r="AG83" s="159"/>
    </row>
    <row r="84" spans="1:33" ht="12.75">
      <c r="A84" s="364">
        <v>54</v>
      </c>
      <c r="B84" s="364" t="s">
        <v>38</v>
      </c>
      <c r="C84" s="364"/>
      <c r="D84" s="364"/>
      <c r="E84" s="388" t="s">
        <v>572</v>
      </c>
      <c r="F84" s="379" t="s">
        <v>353</v>
      </c>
      <c r="G84" s="379" t="s">
        <v>340</v>
      </c>
      <c r="H84" s="379">
        <v>1</v>
      </c>
      <c r="I84" s="365" t="s">
        <v>552</v>
      </c>
      <c r="J84" s="364"/>
      <c r="K84" s="364"/>
      <c r="L84" s="365"/>
      <c r="M84" s="367"/>
      <c r="N84" s="367"/>
      <c r="O84" s="367"/>
      <c r="P84" s="367"/>
      <c r="Q84" s="367"/>
      <c r="R84" s="367"/>
      <c r="S84" s="367"/>
      <c r="T84" s="364"/>
      <c r="U84" s="364"/>
      <c r="V84" s="364"/>
      <c r="W84" s="364"/>
      <c r="X84" s="364"/>
      <c r="Y84" s="364"/>
      <c r="Z84" s="364"/>
      <c r="AA84" s="364"/>
      <c r="AB84" s="364"/>
      <c r="AC84" s="364"/>
      <c r="AD84" s="364"/>
      <c r="AE84" s="364"/>
      <c r="AF84" s="364"/>
      <c r="AG84" s="367">
        <v>1347</v>
      </c>
    </row>
    <row r="85" spans="1:33" ht="12.75">
      <c r="A85" s="364">
        <v>55</v>
      </c>
      <c r="B85" s="364" t="s">
        <v>503</v>
      </c>
      <c r="C85" s="364"/>
      <c r="D85" s="364"/>
      <c r="E85" s="388" t="s">
        <v>338</v>
      </c>
      <c r="F85" s="379" t="s">
        <v>339</v>
      </c>
      <c r="G85" s="379" t="s">
        <v>344</v>
      </c>
      <c r="H85" s="379">
        <v>3</v>
      </c>
      <c r="I85" s="365" t="s">
        <v>30</v>
      </c>
      <c r="J85" s="364"/>
      <c r="K85" s="364"/>
      <c r="L85" s="365"/>
      <c r="M85" s="367"/>
      <c r="N85" s="367"/>
      <c r="O85" s="367"/>
      <c r="P85" s="367"/>
      <c r="Q85" s="367"/>
      <c r="R85" s="367"/>
      <c r="S85" s="367"/>
      <c r="T85" s="364"/>
      <c r="U85" s="364"/>
      <c r="V85" s="364"/>
      <c r="W85" s="364"/>
      <c r="X85" s="364"/>
      <c r="Y85" s="364"/>
      <c r="Z85" s="364"/>
      <c r="AA85" s="364"/>
      <c r="AB85" s="364"/>
      <c r="AC85" s="364"/>
      <c r="AD85" s="364"/>
      <c r="AE85" s="364"/>
      <c r="AF85" s="364"/>
      <c r="AG85" s="367">
        <v>742</v>
      </c>
    </row>
    <row r="86" spans="1:33" ht="12.75">
      <c r="A86" s="89"/>
      <c r="B86" s="352" t="s">
        <v>586</v>
      </c>
      <c r="C86" s="89"/>
      <c r="D86" s="89"/>
      <c r="E86" s="89"/>
      <c r="F86" s="172"/>
      <c r="G86" s="172"/>
      <c r="H86" s="172"/>
      <c r="I86" s="172"/>
      <c r="J86" s="89"/>
      <c r="K86" s="89"/>
      <c r="L86" s="172"/>
      <c r="M86" s="234"/>
      <c r="N86" s="234"/>
      <c r="O86" s="234"/>
      <c r="P86" s="234"/>
      <c r="Q86" s="234"/>
      <c r="R86" s="234"/>
      <c r="S86" s="234"/>
      <c r="T86" s="89"/>
      <c r="U86" s="89"/>
      <c r="V86" s="89"/>
      <c r="W86" s="89"/>
      <c r="X86" s="89"/>
      <c r="Y86" s="89"/>
      <c r="Z86" s="89"/>
      <c r="AA86" s="89"/>
      <c r="AB86" s="89"/>
      <c r="AC86" s="89"/>
      <c r="AD86" s="89"/>
      <c r="AE86" s="89"/>
      <c r="AF86" s="89"/>
      <c r="AG86" s="159"/>
    </row>
    <row r="87" spans="1:33" ht="12.75">
      <c r="A87" s="364">
        <v>56</v>
      </c>
      <c r="B87" s="364" t="s">
        <v>41</v>
      </c>
      <c r="C87" s="364"/>
      <c r="D87" s="364"/>
      <c r="E87" s="388" t="s">
        <v>349</v>
      </c>
      <c r="F87" s="379" t="s">
        <v>339</v>
      </c>
      <c r="G87" s="379" t="s">
        <v>340</v>
      </c>
      <c r="H87" s="379">
        <v>1</v>
      </c>
      <c r="I87" s="365" t="s">
        <v>30</v>
      </c>
      <c r="J87" s="364"/>
      <c r="K87" s="364"/>
      <c r="L87" s="365"/>
      <c r="M87" s="367"/>
      <c r="N87" s="367"/>
      <c r="O87" s="367"/>
      <c r="P87" s="367"/>
      <c r="Q87" s="367"/>
      <c r="R87" s="367"/>
      <c r="S87" s="367"/>
      <c r="T87" s="364"/>
      <c r="U87" s="364"/>
      <c r="V87" s="364"/>
      <c r="W87" s="364"/>
      <c r="X87" s="364"/>
      <c r="Y87" s="364"/>
      <c r="Z87" s="364"/>
      <c r="AA87" s="364"/>
      <c r="AB87" s="364"/>
      <c r="AC87" s="364"/>
      <c r="AD87" s="364"/>
      <c r="AE87" s="364"/>
      <c r="AF87" s="364"/>
      <c r="AG87" s="367">
        <v>1569</v>
      </c>
    </row>
    <row r="88" spans="1:33" ht="12.75">
      <c r="A88" s="364">
        <v>57</v>
      </c>
      <c r="B88" s="364" t="s">
        <v>39</v>
      </c>
      <c r="C88" s="364"/>
      <c r="D88" s="364"/>
      <c r="E88" s="388" t="s">
        <v>338</v>
      </c>
      <c r="F88" s="379" t="s">
        <v>449</v>
      </c>
      <c r="G88" s="379" t="s">
        <v>344</v>
      </c>
      <c r="H88" s="379">
        <v>1</v>
      </c>
      <c r="I88" s="365" t="s">
        <v>30</v>
      </c>
      <c r="J88" s="364"/>
      <c r="K88" s="364"/>
      <c r="L88" s="365"/>
      <c r="M88" s="367"/>
      <c r="N88" s="367"/>
      <c r="O88" s="367"/>
      <c r="P88" s="367"/>
      <c r="Q88" s="367"/>
      <c r="R88" s="367"/>
      <c r="S88" s="367"/>
      <c r="T88" s="364"/>
      <c r="U88" s="364"/>
      <c r="V88" s="364"/>
      <c r="W88" s="364"/>
      <c r="X88" s="364"/>
      <c r="Y88" s="364"/>
      <c r="Z88" s="364"/>
      <c r="AA88" s="364"/>
      <c r="AB88" s="364"/>
      <c r="AC88" s="364"/>
      <c r="AD88" s="364"/>
      <c r="AE88" s="364"/>
      <c r="AF88" s="364"/>
      <c r="AG88" s="367">
        <v>856</v>
      </c>
    </row>
    <row r="89" spans="1:33" ht="12.75">
      <c r="A89" s="364">
        <v>58</v>
      </c>
      <c r="B89" s="364" t="s">
        <v>42</v>
      </c>
      <c r="C89" s="364"/>
      <c r="D89" s="364"/>
      <c r="E89" s="388" t="s">
        <v>346</v>
      </c>
      <c r="F89" s="379" t="s">
        <v>345</v>
      </c>
      <c r="G89" s="379" t="s">
        <v>340</v>
      </c>
      <c r="H89" s="379">
        <v>1</v>
      </c>
      <c r="I89" s="365" t="s">
        <v>553</v>
      </c>
      <c r="J89" s="364"/>
      <c r="K89" s="364"/>
      <c r="L89" s="365"/>
      <c r="M89" s="367"/>
      <c r="N89" s="367"/>
      <c r="O89" s="367"/>
      <c r="P89" s="367"/>
      <c r="Q89" s="367"/>
      <c r="R89" s="367"/>
      <c r="S89" s="367"/>
      <c r="T89" s="364"/>
      <c r="U89" s="364"/>
      <c r="V89" s="364"/>
      <c r="W89" s="364"/>
      <c r="X89" s="364"/>
      <c r="Y89" s="364"/>
      <c r="Z89" s="364"/>
      <c r="AA89" s="364"/>
      <c r="AB89" s="364"/>
      <c r="AC89" s="364"/>
      <c r="AD89" s="364"/>
      <c r="AE89" s="364"/>
      <c r="AF89" s="364"/>
      <c r="AG89" s="367">
        <v>861</v>
      </c>
    </row>
    <row r="90" spans="1:33" ht="12.75">
      <c r="A90" s="364">
        <v>59</v>
      </c>
      <c r="B90" s="364" t="s">
        <v>43</v>
      </c>
      <c r="C90" s="364"/>
      <c r="D90" s="364"/>
      <c r="E90" s="388" t="s">
        <v>346</v>
      </c>
      <c r="F90" s="379" t="s">
        <v>345</v>
      </c>
      <c r="G90" s="379" t="s">
        <v>340</v>
      </c>
      <c r="H90" s="379">
        <v>1</v>
      </c>
      <c r="I90" s="365" t="s">
        <v>553</v>
      </c>
      <c r="J90" s="364"/>
      <c r="K90" s="364"/>
      <c r="L90" s="365"/>
      <c r="M90" s="367"/>
      <c r="N90" s="367"/>
      <c r="O90" s="367"/>
      <c r="P90" s="367"/>
      <c r="Q90" s="367"/>
      <c r="R90" s="367"/>
      <c r="S90" s="367"/>
      <c r="T90" s="364"/>
      <c r="U90" s="364"/>
      <c r="V90" s="364"/>
      <c r="W90" s="364"/>
      <c r="X90" s="364"/>
      <c r="Y90" s="364"/>
      <c r="Z90" s="364"/>
      <c r="AA90" s="364"/>
      <c r="AB90" s="364"/>
      <c r="AC90" s="364"/>
      <c r="AD90" s="364"/>
      <c r="AE90" s="364"/>
      <c r="AF90" s="364"/>
      <c r="AG90" s="367">
        <v>861</v>
      </c>
    </row>
    <row r="91" spans="1:33" ht="12.75">
      <c r="A91" s="364">
        <v>60</v>
      </c>
      <c r="B91" s="364" t="s">
        <v>534</v>
      </c>
      <c r="C91" s="364"/>
      <c r="D91" s="364"/>
      <c r="E91" s="388" t="s">
        <v>346</v>
      </c>
      <c r="F91" s="379" t="s">
        <v>345</v>
      </c>
      <c r="G91" s="379" t="s">
        <v>340</v>
      </c>
      <c r="H91" s="379">
        <v>3</v>
      </c>
      <c r="I91" s="365" t="s">
        <v>553</v>
      </c>
      <c r="J91" s="364"/>
      <c r="K91" s="364"/>
      <c r="L91" s="365"/>
      <c r="M91" s="367"/>
      <c r="N91" s="367"/>
      <c r="O91" s="367"/>
      <c r="P91" s="367"/>
      <c r="Q91" s="367"/>
      <c r="R91" s="367"/>
      <c r="S91" s="367"/>
      <c r="T91" s="364"/>
      <c r="U91" s="364"/>
      <c r="V91" s="364"/>
      <c r="W91" s="364"/>
      <c r="X91" s="364"/>
      <c r="Y91" s="364"/>
      <c r="Z91" s="364"/>
      <c r="AA91" s="364"/>
      <c r="AB91" s="364"/>
      <c r="AC91" s="364"/>
      <c r="AD91" s="364"/>
      <c r="AE91" s="364"/>
      <c r="AF91" s="364"/>
      <c r="AG91" s="367">
        <v>652</v>
      </c>
    </row>
    <row r="92" spans="1:33" ht="12.75">
      <c r="A92" s="364">
        <v>61</v>
      </c>
      <c r="B92" s="364" t="s">
        <v>44</v>
      </c>
      <c r="C92" s="364"/>
      <c r="D92" s="364"/>
      <c r="E92" s="388" t="s">
        <v>346</v>
      </c>
      <c r="F92" s="379" t="s">
        <v>345</v>
      </c>
      <c r="G92" s="379" t="s">
        <v>340</v>
      </c>
      <c r="H92" s="379">
        <v>3</v>
      </c>
      <c r="I92" s="365" t="s">
        <v>553</v>
      </c>
      <c r="J92" s="364"/>
      <c r="K92" s="364"/>
      <c r="L92" s="365"/>
      <c r="M92" s="367"/>
      <c r="N92" s="367"/>
      <c r="O92" s="367"/>
      <c r="P92" s="367"/>
      <c r="Q92" s="367"/>
      <c r="R92" s="367"/>
      <c r="S92" s="367"/>
      <c r="T92" s="364"/>
      <c r="U92" s="364"/>
      <c r="V92" s="364"/>
      <c r="W92" s="364"/>
      <c r="X92" s="364"/>
      <c r="Y92" s="364"/>
      <c r="Z92" s="364"/>
      <c r="AA92" s="364"/>
      <c r="AB92" s="364"/>
      <c r="AC92" s="364"/>
      <c r="AD92" s="364"/>
      <c r="AE92" s="364"/>
      <c r="AF92" s="364"/>
      <c r="AG92" s="367">
        <v>652</v>
      </c>
    </row>
    <row r="93" spans="1:33" ht="12.75">
      <c r="A93" s="89"/>
      <c r="B93" s="89"/>
      <c r="C93" s="89"/>
      <c r="D93" s="89"/>
      <c r="E93" s="394"/>
      <c r="F93" s="75"/>
      <c r="G93" s="75"/>
      <c r="H93" s="75"/>
      <c r="I93" s="172"/>
      <c r="J93" s="89"/>
      <c r="K93" s="89"/>
      <c r="L93" s="172"/>
      <c r="M93" s="234"/>
      <c r="N93" s="234"/>
      <c r="O93" s="234"/>
      <c r="P93" s="234"/>
      <c r="Q93" s="234"/>
      <c r="R93" s="234"/>
      <c r="S93" s="234"/>
      <c r="T93" s="89"/>
      <c r="U93" s="89"/>
      <c r="V93" s="89"/>
      <c r="W93" s="89"/>
      <c r="X93" s="89"/>
      <c r="Y93" s="89"/>
      <c r="Z93" s="89"/>
      <c r="AA93" s="89"/>
      <c r="AB93" s="89"/>
      <c r="AC93" s="89"/>
      <c r="AD93" s="89"/>
      <c r="AE93" s="89"/>
      <c r="AF93" s="89"/>
      <c r="AG93" s="234"/>
    </row>
    <row r="94" spans="2:3" ht="15">
      <c r="B94" s="351" t="s">
        <v>365</v>
      </c>
      <c r="C94" s="351"/>
    </row>
    <row r="95" spans="1:33" ht="12.75">
      <c r="A95" s="364">
        <v>62</v>
      </c>
      <c r="B95" s="364" t="s">
        <v>157</v>
      </c>
      <c r="C95" s="364"/>
      <c r="D95" s="365" t="s">
        <v>214</v>
      </c>
      <c r="E95" s="368" t="s">
        <v>373</v>
      </c>
      <c r="F95" s="365" t="s">
        <v>339</v>
      </c>
      <c r="G95" s="365" t="s">
        <v>340</v>
      </c>
      <c r="H95" s="365">
        <v>1</v>
      </c>
      <c r="I95" s="365" t="s">
        <v>30</v>
      </c>
      <c r="J95" s="364"/>
      <c r="K95" s="367">
        <v>3935000</v>
      </c>
      <c r="L95" s="365">
        <f>K95*1.0829</f>
        <v>4261211.5</v>
      </c>
      <c r="M95" s="365">
        <v>4488000</v>
      </c>
      <c r="N95" s="365">
        <v>4993000</v>
      </c>
      <c r="O95" s="365">
        <v>8200000</v>
      </c>
      <c r="P95" s="367">
        <f>CEILING(N95*1.12,1000)</f>
        <v>5593000</v>
      </c>
      <c r="Q95" s="367">
        <f>O95-P95</f>
        <v>2607000</v>
      </c>
      <c r="R95" s="364">
        <f>Q95*0.38</f>
        <v>990660</v>
      </c>
      <c r="S95" s="364">
        <f>P95+R95</f>
        <v>6583660</v>
      </c>
      <c r="T95" s="364">
        <v>8200000</v>
      </c>
      <c r="U95" s="367">
        <f>CEILING(T95*1.06,1000)</f>
        <v>8692000</v>
      </c>
      <c r="V95" s="367" t="s">
        <v>272</v>
      </c>
      <c r="W95" s="367" t="s">
        <v>296</v>
      </c>
      <c r="X95" s="367">
        <v>13158000</v>
      </c>
      <c r="Y95" s="367">
        <v>11057000</v>
      </c>
      <c r="Z95" s="367">
        <f>X95-Y95</f>
        <v>2101000</v>
      </c>
      <c r="AA95" s="367">
        <f>Z95*45%</f>
        <v>945450</v>
      </c>
      <c r="AB95" s="367">
        <f>SUM(Y95,AA95)</f>
        <v>12002450</v>
      </c>
      <c r="AC95" s="367">
        <f>ROUNDUP(AB95,-3)</f>
        <v>12003000</v>
      </c>
      <c r="AD95" s="367"/>
      <c r="AE95" s="367"/>
      <c r="AF95" s="367"/>
      <c r="AG95" s="367">
        <v>1569</v>
      </c>
    </row>
    <row r="96" spans="2:33" ht="12.75">
      <c r="B96" s="352" t="s">
        <v>366</v>
      </c>
      <c r="D96" s="66"/>
      <c r="E96" s="138"/>
      <c r="K96" s="81"/>
      <c r="L96" s="66"/>
      <c r="M96" s="66"/>
      <c r="N96" s="66"/>
      <c r="O96" s="66"/>
      <c r="P96" s="81"/>
      <c r="Q96" s="81"/>
      <c r="U96" s="81"/>
      <c r="V96" s="81"/>
      <c r="W96" s="81"/>
      <c r="X96" s="81"/>
      <c r="Y96" s="81"/>
      <c r="Z96" s="81"/>
      <c r="AA96" s="81"/>
      <c r="AB96" s="81"/>
      <c r="AC96" s="81"/>
      <c r="AD96" s="81"/>
      <c r="AE96" s="81"/>
      <c r="AF96" s="81"/>
      <c r="AG96" s="81"/>
    </row>
    <row r="97" spans="1:33" ht="12.75">
      <c r="A97" s="364">
        <v>63</v>
      </c>
      <c r="B97" s="364" t="s">
        <v>159</v>
      </c>
      <c r="C97" s="364"/>
      <c r="D97" s="365"/>
      <c r="E97" s="368" t="s">
        <v>350</v>
      </c>
      <c r="F97" s="365" t="s">
        <v>339</v>
      </c>
      <c r="G97" s="365" t="s">
        <v>340</v>
      </c>
      <c r="H97" s="365">
        <v>3</v>
      </c>
      <c r="I97" s="365" t="s">
        <v>30</v>
      </c>
      <c r="J97" s="364"/>
      <c r="K97" s="367">
        <v>4023000</v>
      </c>
      <c r="L97" s="365">
        <f>K97*1.0829</f>
        <v>4356506.7</v>
      </c>
      <c r="M97" s="365">
        <f>CEILING(L97*1.03,1000)</f>
        <v>4488000</v>
      </c>
      <c r="N97" s="365">
        <v>1989000</v>
      </c>
      <c r="O97" s="365">
        <v>3900000</v>
      </c>
      <c r="P97" s="367">
        <v>3593000</v>
      </c>
      <c r="Q97" s="367">
        <f>O97-P97</f>
        <v>307000</v>
      </c>
      <c r="R97" s="364">
        <f>Q97*0.38</f>
        <v>116660</v>
      </c>
      <c r="S97" s="364">
        <f>P97+R97</f>
        <v>3709660</v>
      </c>
      <c r="T97" s="364">
        <v>3900000</v>
      </c>
      <c r="U97" s="367">
        <f>CEILING(T97*1.06,1000)</f>
        <v>4134000</v>
      </c>
      <c r="V97" s="367" t="s">
        <v>256</v>
      </c>
      <c r="W97" s="367" t="s">
        <v>309</v>
      </c>
      <c r="X97" s="367">
        <v>6208000</v>
      </c>
      <c r="Y97" s="367">
        <v>5216000</v>
      </c>
      <c r="Z97" s="367">
        <f>X97-Y97</f>
        <v>992000</v>
      </c>
      <c r="AA97" s="367">
        <f>Z97*45%</f>
        <v>446400</v>
      </c>
      <c r="AB97" s="367">
        <f>SUM(Y97,AA97)</f>
        <v>5662400</v>
      </c>
      <c r="AC97" s="367">
        <v>7258000</v>
      </c>
      <c r="AD97" s="367"/>
      <c r="AE97" s="367"/>
      <c r="AF97" s="367"/>
      <c r="AG97" s="367">
        <v>1274</v>
      </c>
    </row>
    <row r="98" spans="1:33" ht="12.75">
      <c r="A98" s="364">
        <v>64</v>
      </c>
      <c r="B98" s="364" t="s">
        <v>448</v>
      </c>
      <c r="C98" s="364"/>
      <c r="D98" s="365"/>
      <c r="E98" s="368" t="s">
        <v>338</v>
      </c>
      <c r="F98" s="365" t="s">
        <v>339</v>
      </c>
      <c r="G98" s="365" t="s">
        <v>344</v>
      </c>
      <c r="H98" s="365">
        <v>3</v>
      </c>
      <c r="I98" s="365" t="s">
        <v>30</v>
      </c>
      <c r="J98" s="364"/>
      <c r="K98" s="367"/>
      <c r="L98" s="365"/>
      <c r="M98" s="365"/>
      <c r="N98" s="365"/>
      <c r="O98" s="365"/>
      <c r="P98" s="367"/>
      <c r="Q98" s="367"/>
      <c r="R98" s="364"/>
      <c r="S98" s="364"/>
      <c r="T98" s="364"/>
      <c r="U98" s="367"/>
      <c r="V98" s="367"/>
      <c r="W98" s="367"/>
      <c r="X98" s="367"/>
      <c r="Y98" s="367"/>
      <c r="Z98" s="367"/>
      <c r="AA98" s="367"/>
      <c r="AB98" s="367"/>
      <c r="AC98" s="367">
        <v>4375000</v>
      </c>
      <c r="AD98" s="367"/>
      <c r="AE98" s="367"/>
      <c r="AF98" s="367"/>
      <c r="AG98" s="367">
        <v>742</v>
      </c>
    </row>
    <row r="100" spans="1:33" ht="12.75">
      <c r="A100" s="89"/>
      <c r="B100" s="89"/>
      <c r="C100" s="89"/>
      <c r="D100" s="172"/>
      <c r="E100" s="391"/>
      <c r="F100" s="172"/>
      <c r="G100" s="172"/>
      <c r="H100" s="172"/>
      <c r="I100" s="172"/>
      <c r="J100" s="89"/>
      <c r="K100" s="234"/>
      <c r="L100" s="172"/>
      <c r="M100" s="172"/>
      <c r="N100" s="172"/>
      <c r="O100" s="172"/>
      <c r="P100" s="234"/>
      <c r="Q100" s="234"/>
      <c r="R100" s="89"/>
      <c r="S100" s="89"/>
      <c r="T100" s="89"/>
      <c r="U100" s="234"/>
      <c r="V100" s="234"/>
      <c r="W100" s="234"/>
      <c r="X100" s="234"/>
      <c r="Y100" s="234"/>
      <c r="Z100" s="234"/>
      <c r="AA100" s="234"/>
      <c r="AB100" s="234"/>
      <c r="AC100" s="234"/>
      <c r="AD100" s="234"/>
      <c r="AE100" s="234"/>
      <c r="AF100" s="234"/>
      <c r="AG100" s="234"/>
    </row>
    <row r="101" spans="1:33" ht="12.75">
      <c r="A101" s="89"/>
      <c r="B101" s="89"/>
      <c r="C101" s="89"/>
      <c r="D101" s="172"/>
      <c r="E101" s="391"/>
      <c r="F101" s="172"/>
      <c r="G101" s="172"/>
      <c r="H101" s="172"/>
      <c r="I101" s="172"/>
      <c r="J101" s="89"/>
      <c r="K101" s="234"/>
      <c r="L101" s="172"/>
      <c r="M101" s="172"/>
      <c r="N101" s="172"/>
      <c r="O101" s="172"/>
      <c r="P101" s="234"/>
      <c r="Q101" s="234"/>
      <c r="R101" s="89"/>
      <c r="S101" s="89"/>
      <c r="T101" s="89"/>
      <c r="U101" s="234"/>
      <c r="V101" s="234"/>
      <c r="W101" s="234"/>
      <c r="X101" s="234"/>
      <c r="Y101" s="234"/>
      <c r="Z101" s="234"/>
      <c r="AA101" s="234"/>
      <c r="AB101" s="234"/>
      <c r="AC101" s="234"/>
      <c r="AD101" s="234"/>
      <c r="AE101" s="234"/>
      <c r="AF101" s="234"/>
      <c r="AG101" s="234"/>
    </row>
    <row r="102" spans="2:33" ht="12.75">
      <c r="B102" s="352" t="s">
        <v>367</v>
      </c>
      <c r="D102" s="66"/>
      <c r="E102" s="138"/>
      <c r="K102" s="81"/>
      <c r="L102" s="66"/>
      <c r="M102" s="66"/>
      <c r="N102" s="66"/>
      <c r="O102" s="66"/>
      <c r="P102" s="81"/>
      <c r="Q102" s="81"/>
      <c r="U102" s="81"/>
      <c r="V102" s="81"/>
      <c r="W102" s="81"/>
      <c r="X102" s="81"/>
      <c r="Y102" s="81"/>
      <c r="Z102" s="81"/>
      <c r="AA102" s="81"/>
      <c r="AB102" s="81"/>
      <c r="AC102" s="81"/>
      <c r="AD102" s="81"/>
      <c r="AE102" s="81"/>
      <c r="AF102" s="81"/>
      <c r="AG102" s="81"/>
    </row>
    <row r="103" spans="1:33" ht="12.75">
      <c r="A103" s="364">
        <v>65</v>
      </c>
      <c r="B103" s="364" t="s">
        <v>121</v>
      </c>
      <c r="C103" s="364"/>
      <c r="D103" s="365"/>
      <c r="E103" s="368" t="s">
        <v>338</v>
      </c>
      <c r="F103" s="365" t="s">
        <v>339</v>
      </c>
      <c r="G103" s="365" t="s">
        <v>340</v>
      </c>
      <c r="H103" s="365">
        <v>1</v>
      </c>
      <c r="I103" s="365" t="s">
        <v>30</v>
      </c>
      <c r="J103" s="364"/>
      <c r="K103" s="367">
        <v>3816000</v>
      </c>
      <c r="L103" s="365">
        <f>K103*1.0829</f>
        <v>4132346.4</v>
      </c>
      <c r="M103" s="365">
        <f>CEILING(L103*1.03,1000)</f>
        <v>4257000</v>
      </c>
      <c r="N103" s="365">
        <v>4736000</v>
      </c>
      <c r="O103" s="365">
        <v>8200000</v>
      </c>
      <c r="P103" s="367">
        <f>CEILING(N103*1.12,1000)</f>
        <v>5305000</v>
      </c>
      <c r="Q103" s="367">
        <f>O103-P103</f>
        <v>2895000</v>
      </c>
      <c r="R103" s="364">
        <f>Q103*0.38</f>
        <v>1100100</v>
      </c>
      <c r="S103" s="364">
        <f>P103+R103</f>
        <v>6405100</v>
      </c>
      <c r="T103" s="364">
        <v>8200000</v>
      </c>
      <c r="U103" s="367">
        <f>CEILING(T103*1.06,1000)</f>
        <v>8692000</v>
      </c>
      <c r="V103" s="367" t="s">
        <v>267</v>
      </c>
      <c r="W103" s="367" t="s">
        <v>297</v>
      </c>
      <c r="X103" s="367">
        <v>13158000</v>
      </c>
      <c r="Y103" s="367">
        <v>11057000</v>
      </c>
      <c r="Z103" s="367">
        <f>X103-Y103</f>
        <v>2101000</v>
      </c>
      <c r="AA103" s="367">
        <f>Z103*45%</f>
        <v>945450</v>
      </c>
      <c r="AB103" s="367">
        <f>SUM(Y103,AA103)</f>
        <v>12002450</v>
      </c>
      <c r="AC103" s="367">
        <f>ROUNDUP(AB103,-3)</f>
        <v>12003000</v>
      </c>
      <c r="AD103" s="367"/>
      <c r="AE103" s="367"/>
      <c r="AF103" s="367"/>
      <c r="AG103" s="367">
        <v>1569</v>
      </c>
    </row>
    <row r="104" spans="1:33" ht="12.75">
      <c r="A104" s="364">
        <v>66</v>
      </c>
      <c r="B104" s="364" t="s">
        <v>122</v>
      </c>
      <c r="C104" s="364"/>
      <c r="D104" s="365"/>
      <c r="E104" s="368" t="s">
        <v>338</v>
      </c>
      <c r="F104" s="365" t="s">
        <v>339</v>
      </c>
      <c r="G104" s="365" t="s">
        <v>340</v>
      </c>
      <c r="H104" s="365">
        <v>1</v>
      </c>
      <c r="I104" s="365" t="s">
        <v>30</v>
      </c>
      <c r="J104" s="364"/>
      <c r="K104" s="367">
        <v>3816000</v>
      </c>
      <c r="L104" s="365">
        <f>K104*1.0829</f>
        <v>4132346.4</v>
      </c>
      <c r="M104" s="365">
        <f>CEILING(L104*1.03,1000)</f>
        <v>4257000</v>
      </c>
      <c r="N104" s="365">
        <v>4736000</v>
      </c>
      <c r="O104" s="365">
        <v>8200000</v>
      </c>
      <c r="P104" s="367">
        <f>CEILING(N104*1.12,1000)</f>
        <v>5305000</v>
      </c>
      <c r="Q104" s="367">
        <f>O104-P104</f>
        <v>2895000</v>
      </c>
      <c r="R104" s="364">
        <f>Q104*0.38</f>
        <v>1100100</v>
      </c>
      <c r="S104" s="364">
        <f>P104+R104</f>
        <v>6405100</v>
      </c>
      <c r="T104" s="364">
        <v>8200000</v>
      </c>
      <c r="U104" s="367">
        <f>CEILING(T104*1.06,1000)</f>
        <v>8692000</v>
      </c>
      <c r="V104" s="367" t="s">
        <v>267</v>
      </c>
      <c r="W104" s="367" t="s">
        <v>297</v>
      </c>
      <c r="X104" s="367">
        <v>13158000</v>
      </c>
      <c r="Y104" s="367">
        <v>11057000</v>
      </c>
      <c r="Z104" s="367">
        <f>X104-Y104</f>
        <v>2101000</v>
      </c>
      <c r="AA104" s="367">
        <f>Z104*45%</f>
        <v>945450</v>
      </c>
      <c r="AB104" s="367">
        <f>SUM(Y104,AA104)</f>
        <v>12002450</v>
      </c>
      <c r="AC104" s="367">
        <f>ROUNDUP(AB104,-3)</f>
        <v>12003000</v>
      </c>
      <c r="AD104" s="367"/>
      <c r="AE104" s="367"/>
      <c r="AF104" s="367"/>
      <c r="AG104" s="367">
        <v>1569</v>
      </c>
    </row>
    <row r="105" spans="1:33" ht="12.75">
      <c r="A105" s="364">
        <v>67</v>
      </c>
      <c r="B105" s="364" t="s">
        <v>123</v>
      </c>
      <c r="C105" s="364"/>
      <c r="D105" s="365"/>
      <c r="E105" s="368" t="s">
        <v>338</v>
      </c>
      <c r="F105" s="365" t="s">
        <v>339</v>
      </c>
      <c r="G105" s="365" t="s">
        <v>340</v>
      </c>
      <c r="H105" s="365">
        <v>1</v>
      </c>
      <c r="I105" s="365" t="s">
        <v>30</v>
      </c>
      <c r="J105" s="364"/>
      <c r="K105" s="367">
        <v>3625000</v>
      </c>
      <c r="L105" s="365">
        <f>K105*1.0829</f>
        <v>3925512.5</v>
      </c>
      <c r="M105" s="365">
        <f>CEILING(L105*1.03,1000)</f>
        <v>4044000</v>
      </c>
      <c r="N105" s="365">
        <v>4736000</v>
      </c>
      <c r="O105" s="365">
        <v>4736000</v>
      </c>
      <c r="P105" s="367">
        <v>4736000</v>
      </c>
      <c r="Q105" s="367">
        <f>O105-P105</f>
        <v>0</v>
      </c>
      <c r="R105" s="364">
        <f>Q105*0.38</f>
        <v>0</v>
      </c>
      <c r="S105" s="364">
        <f>P105+R105</f>
        <v>4736000</v>
      </c>
      <c r="T105" s="364">
        <f>CEILING(S105,1000)</f>
        <v>4736000</v>
      </c>
      <c r="U105" s="367">
        <v>4736000</v>
      </c>
      <c r="V105" s="367" t="s">
        <v>267</v>
      </c>
      <c r="W105" s="367" t="s">
        <v>297</v>
      </c>
      <c r="X105" s="367">
        <v>13158000</v>
      </c>
      <c r="Y105" s="367">
        <v>11057000</v>
      </c>
      <c r="Z105" s="367">
        <f>X105-Y105</f>
        <v>2101000</v>
      </c>
      <c r="AA105" s="367">
        <f>Z105*45%</f>
        <v>945450</v>
      </c>
      <c r="AB105" s="367">
        <f>SUM(Y105,AA105)</f>
        <v>12002450</v>
      </c>
      <c r="AC105" s="367">
        <f>ROUNDUP(AB105,-3)</f>
        <v>12003000</v>
      </c>
      <c r="AD105" s="367"/>
      <c r="AE105" s="367"/>
      <c r="AF105" s="367"/>
      <c r="AG105" s="367">
        <v>1569</v>
      </c>
    </row>
    <row r="106" spans="1:33" ht="12.75">
      <c r="A106" s="364">
        <v>68</v>
      </c>
      <c r="B106" s="364" t="s">
        <v>185</v>
      </c>
      <c r="C106" s="364"/>
      <c r="D106" s="365"/>
      <c r="E106" s="368" t="s">
        <v>338</v>
      </c>
      <c r="F106" s="365" t="s">
        <v>339</v>
      </c>
      <c r="G106" s="365" t="s">
        <v>343</v>
      </c>
      <c r="H106" s="365">
        <v>3</v>
      </c>
      <c r="I106" s="365" t="s">
        <v>30</v>
      </c>
      <c r="J106" s="364"/>
      <c r="K106" s="367"/>
      <c r="L106" s="365"/>
      <c r="M106" s="365"/>
      <c r="N106" s="365"/>
      <c r="O106" s="365"/>
      <c r="P106" s="367"/>
      <c r="Q106" s="367"/>
      <c r="R106" s="364"/>
      <c r="S106" s="364"/>
      <c r="T106" s="364"/>
      <c r="U106" s="367">
        <v>4264000</v>
      </c>
      <c r="V106" s="367"/>
      <c r="W106" s="367"/>
      <c r="X106" s="367"/>
      <c r="Y106" s="367">
        <f>CEILING(U106*1.06,1000)</f>
        <v>4520000</v>
      </c>
      <c r="Z106" s="367"/>
      <c r="AA106" s="367">
        <f>Z106*45%</f>
        <v>0</v>
      </c>
      <c r="AB106" s="367">
        <f>SUM(Y106,AA106)</f>
        <v>4520000</v>
      </c>
      <c r="AC106" s="367">
        <v>6098000</v>
      </c>
      <c r="AD106" s="367"/>
      <c r="AE106" s="367"/>
      <c r="AF106" s="367"/>
      <c r="AG106" s="367">
        <v>950</v>
      </c>
    </row>
    <row r="107" spans="1:33" ht="12.75">
      <c r="A107" s="364">
        <v>69</v>
      </c>
      <c r="B107" s="364" t="s">
        <v>590</v>
      </c>
      <c r="C107" s="364"/>
      <c r="D107" s="365"/>
      <c r="E107" s="368" t="s">
        <v>338</v>
      </c>
      <c r="F107" s="365" t="s">
        <v>339</v>
      </c>
      <c r="G107" s="365" t="s">
        <v>355</v>
      </c>
      <c r="H107" s="365"/>
      <c r="I107" s="365" t="s">
        <v>30</v>
      </c>
      <c r="J107" s="364"/>
      <c r="K107" s="364"/>
      <c r="L107" s="365"/>
      <c r="M107" s="365"/>
      <c r="N107" s="367"/>
      <c r="O107" s="367"/>
      <c r="P107" s="367"/>
      <c r="Q107" s="367"/>
      <c r="R107" s="364"/>
      <c r="S107" s="364"/>
      <c r="T107" s="364"/>
      <c r="U107" s="367"/>
      <c r="V107" s="367"/>
      <c r="W107" s="367"/>
      <c r="X107" s="367"/>
      <c r="Y107" s="367"/>
      <c r="Z107" s="367"/>
      <c r="AA107" s="367"/>
      <c r="AB107" s="367"/>
      <c r="AC107" s="367">
        <v>9738000</v>
      </c>
      <c r="AD107" s="367"/>
      <c r="AE107" s="367"/>
      <c r="AF107" s="367"/>
      <c r="AG107" s="367">
        <v>571</v>
      </c>
    </row>
    <row r="108" spans="2:33" ht="12.75">
      <c r="B108" s="352" t="s">
        <v>368</v>
      </c>
      <c r="D108" s="66"/>
      <c r="K108" s="81"/>
      <c r="L108" s="66"/>
      <c r="M108" s="66"/>
      <c r="N108" s="66"/>
      <c r="O108" s="66"/>
      <c r="P108" s="66"/>
      <c r="Q108" s="81"/>
      <c r="Z108" s="81"/>
      <c r="AA108" s="81"/>
      <c r="AB108" s="81"/>
      <c r="AC108" s="81"/>
      <c r="AD108" s="81"/>
      <c r="AE108" s="81"/>
      <c r="AF108" s="81"/>
      <c r="AG108" s="81"/>
    </row>
    <row r="109" spans="1:33" ht="12.75">
      <c r="A109" s="364">
        <v>70</v>
      </c>
      <c r="B109" s="364" t="s">
        <v>72</v>
      </c>
      <c r="C109" s="364"/>
      <c r="D109" s="365" t="s">
        <v>33</v>
      </c>
      <c r="E109" s="368" t="s">
        <v>338</v>
      </c>
      <c r="F109" s="365" t="s">
        <v>339</v>
      </c>
      <c r="G109" s="365" t="s">
        <v>340</v>
      </c>
      <c r="H109" s="365">
        <v>1</v>
      </c>
      <c r="I109" s="365" t="s">
        <v>30</v>
      </c>
      <c r="J109" s="364"/>
      <c r="K109" s="367">
        <v>4023000</v>
      </c>
      <c r="L109" s="365">
        <f>K109*1.0829</f>
        <v>4356506.7</v>
      </c>
      <c r="M109" s="365">
        <f>CEILING(L109*1.03,1000)</f>
        <v>4488000</v>
      </c>
      <c r="N109" s="365">
        <v>4993000</v>
      </c>
      <c r="O109" s="365">
        <v>8200000</v>
      </c>
      <c r="P109" s="367">
        <f>CEILING(N109*1.12,1000)</f>
        <v>5593000</v>
      </c>
      <c r="Q109" s="367">
        <f>O109-P109</f>
        <v>2607000</v>
      </c>
      <c r="R109" s="364">
        <f>Q109*0.38</f>
        <v>990660</v>
      </c>
      <c r="S109" s="364">
        <f>P109+R109</f>
        <v>6583660</v>
      </c>
      <c r="T109" s="364">
        <v>8200000</v>
      </c>
      <c r="U109" s="367">
        <f>CEILING(T109*1.06,1000)</f>
        <v>8692000</v>
      </c>
      <c r="V109" s="367" t="s">
        <v>267</v>
      </c>
      <c r="W109" s="367" t="s">
        <v>297</v>
      </c>
      <c r="X109" s="367">
        <v>13158000</v>
      </c>
      <c r="Y109" s="367">
        <v>11057000</v>
      </c>
      <c r="Z109" s="367">
        <f>X109-Y109</f>
        <v>2101000</v>
      </c>
      <c r="AA109" s="367">
        <f>Z109*45%</f>
        <v>945450</v>
      </c>
      <c r="AB109" s="367">
        <f>SUM(Y109,AA109)</f>
        <v>12002450</v>
      </c>
      <c r="AC109" s="367">
        <f>ROUNDUP(AB109,-3)</f>
        <v>12003000</v>
      </c>
      <c r="AD109" s="367"/>
      <c r="AE109" s="367"/>
      <c r="AF109" s="367"/>
      <c r="AG109" s="367">
        <v>1569</v>
      </c>
    </row>
    <row r="110" spans="1:33" ht="12.75">
      <c r="A110" s="364">
        <v>71</v>
      </c>
      <c r="B110" s="364" t="s">
        <v>73</v>
      </c>
      <c r="C110" s="364"/>
      <c r="D110" s="365"/>
      <c r="E110" s="368" t="s">
        <v>338</v>
      </c>
      <c r="F110" s="365" t="s">
        <v>339</v>
      </c>
      <c r="G110" s="365" t="s">
        <v>340</v>
      </c>
      <c r="H110" s="365">
        <v>1</v>
      </c>
      <c r="I110" s="365" t="s">
        <v>30</v>
      </c>
      <c r="J110" s="364"/>
      <c r="K110" s="367">
        <v>4023000</v>
      </c>
      <c r="L110" s="365">
        <f>K110*1.0829</f>
        <v>4356506.7</v>
      </c>
      <c r="M110" s="365">
        <f>CEILING(L110*1.03,1000)</f>
        <v>4488000</v>
      </c>
      <c r="N110" s="365">
        <v>4993000</v>
      </c>
      <c r="O110" s="365">
        <v>8200000</v>
      </c>
      <c r="P110" s="367">
        <f>CEILING(N110*1.12,1000)</f>
        <v>5593000</v>
      </c>
      <c r="Q110" s="367">
        <f>O110-P110</f>
        <v>2607000</v>
      </c>
      <c r="R110" s="364">
        <f>Q110*0.38</f>
        <v>990660</v>
      </c>
      <c r="S110" s="364">
        <f>P110+R110</f>
        <v>6583660</v>
      </c>
      <c r="T110" s="364">
        <v>8200000</v>
      </c>
      <c r="U110" s="367">
        <f>CEILING(T110*1.06,1000)</f>
        <v>8692000</v>
      </c>
      <c r="V110" s="367" t="s">
        <v>267</v>
      </c>
      <c r="W110" s="367" t="s">
        <v>297</v>
      </c>
      <c r="X110" s="367">
        <v>13158000</v>
      </c>
      <c r="Y110" s="367">
        <v>11057000</v>
      </c>
      <c r="Z110" s="367">
        <f>X110-Y110</f>
        <v>2101000</v>
      </c>
      <c r="AA110" s="367">
        <f>Z110*45%</f>
        <v>945450</v>
      </c>
      <c r="AB110" s="367">
        <f>SUM(Y110,AA110)</f>
        <v>12002450</v>
      </c>
      <c r="AC110" s="367">
        <f>ROUNDUP(AB110,-3)</f>
        <v>12003000</v>
      </c>
      <c r="AD110" s="367"/>
      <c r="AE110" s="367"/>
      <c r="AF110" s="367"/>
      <c r="AG110" s="367">
        <v>1569</v>
      </c>
    </row>
    <row r="111" spans="1:33" ht="12.75">
      <c r="A111" s="364">
        <v>72</v>
      </c>
      <c r="B111" s="364" t="s">
        <v>74</v>
      </c>
      <c r="C111" s="364"/>
      <c r="D111" s="365"/>
      <c r="E111" s="368" t="s">
        <v>338</v>
      </c>
      <c r="F111" s="365" t="s">
        <v>339</v>
      </c>
      <c r="G111" s="365" t="s">
        <v>340</v>
      </c>
      <c r="H111" s="365">
        <v>1</v>
      </c>
      <c r="I111" s="365" t="s">
        <v>30</v>
      </c>
      <c r="J111" s="364"/>
      <c r="K111" s="367">
        <v>3556000</v>
      </c>
      <c r="L111" s="365">
        <f>K111*1.0829</f>
        <v>3850792.4</v>
      </c>
      <c r="M111" s="365">
        <f>CEILING(L111*1.03,1000)</f>
        <v>3967000</v>
      </c>
      <c r="N111" s="365">
        <v>4993000</v>
      </c>
      <c r="O111" s="365">
        <v>8200000</v>
      </c>
      <c r="P111" s="367">
        <f>CEILING(N111*1.12,1000)</f>
        <v>5593000</v>
      </c>
      <c r="Q111" s="367">
        <f>O111-P111</f>
        <v>2607000</v>
      </c>
      <c r="R111" s="364">
        <f>Q111*0.38</f>
        <v>990660</v>
      </c>
      <c r="S111" s="364">
        <f>P111+R111</f>
        <v>6583660</v>
      </c>
      <c r="T111" s="364">
        <v>8200000</v>
      </c>
      <c r="U111" s="367">
        <f>CEILING(T111*1.06,1000)</f>
        <v>8692000</v>
      </c>
      <c r="V111" s="367" t="s">
        <v>272</v>
      </c>
      <c r="W111" s="367" t="s">
        <v>297</v>
      </c>
      <c r="X111" s="367">
        <v>13158000</v>
      </c>
      <c r="Y111" s="367">
        <v>11057000</v>
      </c>
      <c r="Z111" s="367">
        <f>X111-Y111</f>
        <v>2101000</v>
      </c>
      <c r="AA111" s="367">
        <f>Z111*45%</f>
        <v>945450</v>
      </c>
      <c r="AB111" s="367">
        <f>SUM(Y111,AA111)</f>
        <v>12002450</v>
      </c>
      <c r="AC111" s="367">
        <f>ROUNDUP(AB111,-3)</f>
        <v>12003000</v>
      </c>
      <c r="AD111" s="367"/>
      <c r="AE111" s="367"/>
      <c r="AF111" s="367"/>
      <c r="AG111" s="367">
        <v>1569</v>
      </c>
    </row>
    <row r="112" spans="1:33" ht="12.75">
      <c r="A112" s="364">
        <v>73</v>
      </c>
      <c r="B112" s="364" t="s">
        <v>248</v>
      </c>
      <c r="C112" s="364"/>
      <c r="D112" s="365"/>
      <c r="E112" s="368" t="s">
        <v>338</v>
      </c>
      <c r="F112" s="365" t="s">
        <v>339</v>
      </c>
      <c r="G112" s="365" t="s">
        <v>340</v>
      </c>
      <c r="H112" s="365">
        <v>1</v>
      </c>
      <c r="I112" s="365" t="s">
        <v>30</v>
      </c>
      <c r="J112" s="364"/>
      <c r="K112" s="367">
        <v>3089000</v>
      </c>
      <c r="L112" s="365">
        <f>K112*1.0829</f>
        <v>3345078.1</v>
      </c>
      <c r="M112" s="365">
        <f>CEILING(L112*1.03,1000)</f>
        <v>3446000</v>
      </c>
      <c r="N112" s="365">
        <v>4414000</v>
      </c>
      <c r="O112" s="365">
        <v>7405000</v>
      </c>
      <c r="P112" s="367">
        <f>CEILING(N112*1.12,1000)</f>
        <v>4944000</v>
      </c>
      <c r="Q112" s="367">
        <f>O112-P112</f>
        <v>2461000</v>
      </c>
      <c r="R112" s="364">
        <f>Q112*0.38</f>
        <v>935180</v>
      </c>
      <c r="S112" s="364">
        <f>P112+R112</f>
        <v>5879180</v>
      </c>
      <c r="T112" s="364">
        <v>7405000</v>
      </c>
      <c r="U112" s="367">
        <f>CEILING(T112*1.06,1000)</f>
        <v>7850000</v>
      </c>
      <c r="V112" s="367" t="s">
        <v>270</v>
      </c>
      <c r="W112" s="367" t="s">
        <v>300</v>
      </c>
      <c r="X112" s="367">
        <v>11784000</v>
      </c>
      <c r="Y112" s="367">
        <v>9902000</v>
      </c>
      <c r="Z112" s="367">
        <f>X112-Y112</f>
        <v>1882000</v>
      </c>
      <c r="AA112" s="367">
        <f>Z112*45%</f>
        <v>846900</v>
      </c>
      <c r="AB112" s="367">
        <f>SUM(Y112,AA112)</f>
        <v>10748900</v>
      </c>
      <c r="AC112" s="367">
        <f>ROUNDUP(AB112,-3)</f>
        <v>10749000</v>
      </c>
      <c r="AD112" s="367"/>
      <c r="AE112" s="367"/>
      <c r="AF112" s="367"/>
      <c r="AG112" s="367">
        <v>1569</v>
      </c>
    </row>
    <row r="113" spans="1:33" ht="12.75">
      <c r="A113" s="364">
        <v>74</v>
      </c>
      <c r="B113" s="364" t="s">
        <v>83</v>
      </c>
      <c r="C113" s="364"/>
      <c r="D113" s="365"/>
      <c r="E113" s="368" t="s">
        <v>350</v>
      </c>
      <c r="F113" s="365" t="s">
        <v>339</v>
      </c>
      <c r="G113" s="365" t="s">
        <v>340</v>
      </c>
      <c r="H113" s="365">
        <v>1</v>
      </c>
      <c r="I113" s="365" t="s">
        <v>30</v>
      </c>
      <c r="J113" s="364"/>
      <c r="K113" s="367">
        <v>2767000</v>
      </c>
      <c r="L113" s="365">
        <f>K113*1.0829</f>
        <v>2996384.3</v>
      </c>
      <c r="M113" s="365">
        <v>3122000</v>
      </c>
      <c r="N113" s="365">
        <v>3474000</v>
      </c>
      <c r="O113" s="365">
        <v>6013000</v>
      </c>
      <c r="P113" s="367">
        <f>CEILING(N113*1.12,1000)</f>
        <v>3891000</v>
      </c>
      <c r="Q113" s="367">
        <f>O113-P113</f>
        <v>2122000</v>
      </c>
      <c r="R113" s="364">
        <f>Q113*0.38</f>
        <v>806360</v>
      </c>
      <c r="S113" s="364">
        <f>P113+R113</f>
        <v>4697360</v>
      </c>
      <c r="T113" s="364">
        <v>6013000</v>
      </c>
      <c r="U113" s="367">
        <f>CEILING(T113*1.06,1000)</f>
        <v>6374000</v>
      </c>
      <c r="V113" s="367" t="s">
        <v>252</v>
      </c>
      <c r="W113" s="367" t="s">
        <v>308</v>
      </c>
      <c r="X113" s="367">
        <v>9569000</v>
      </c>
      <c r="Y113" s="367">
        <v>8041000</v>
      </c>
      <c r="Z113" s="367">
        <f>X113-Y113</f>
        <v>1528000</v>
      </c>
      <c r="AA113" s="367">
        <f>Z113*45%</f>
        <v>687600</v>
      </c>
      <c r="AB113" s="367">
        <f>SUM(Y113,AA113)</f>
        <v>8728600</v>
      </c>
      <c r="AC113" s="367">
        <v>9738000</v>
      </c>
      <c r="AD113" s="367"/>
      <c r="AE113" s="367"/>
      <c r="AF113" s="367"/>
      <c r="AG113" s="367">
        <v>1569</v>
      </c>
    </row>
    <row r="114" spans="1:33" ht="12.75">
      <c r="A114" s="364">
        <v>75</v>
      </c>
      <c r="B114" s="364" t="s">
        <v>217</v>
      </c>
      <c r="C114" s="364"/>
      <c r="D114" s="365"/>
      <c r="E114" s="368" t="s">
        <v>350</v>
      </c>
      <c r="F114" s="365" t="s">
        <v>339</v>
      </c>
      <c r="G114" s="365" t="s">
        <v>355</v>
      </c>
      <c r="H114" s="365"/>
      <c r="I114" s="365" t="s">
        <v>30</v>
      </c>
      <c r="J114" s="364"/>
      <c r="K114" s="367"/>
      <c r="L114" s="365"/>
      <c r="M114" s="365"/>
      <c r="N114" s="365"/>
      <c r="O114" s="365"/>
      <c r="P114" s="367"/>
      <c r="Q114" s="367"/>
      <c r="R114" s="364"/>
      <c r="S114" s="364"/>
      <c r="T114" s="364"/>
      <c r="U114" s="367"/>
      <c r="V114" s="367"/>
      <c r="W114" s="367"/>
      <c r="X114" s="367"/>
      <c r="Y114" s="367"/>
      <c r="Z114" s="367"/>
      <c r="AA114" s="367"/>
      <c r="AB114" s="367"/>
      <c r="AC114" s="367">
        <v>4375000</v>
      </c>
      <c r="AD114" s="367"/>
      <c r="AE114" s="367"/>
      <c r="AF114" s="367"/>
      <c r="AG114" s="367">
        <v>571</v>
      </c>
    </row>
    <row r="115" spans="1:33" ht="12.75">
      <c r="A115" s="364">
        <v>76</v>
      </c>
      <c r="B115" s="364" t="s">
        <v>217</v>
      </c>
      <c r="C115" s="364"/>
      <c r="D115" s="365"/>
      <c r="E115" s="368" t="s">
        <v>338</v>
      </c>
      <c r="F115" s="365" t="s">
        <v>339</v>
      </c>
      <c r="G115" s="365" t="s">
        <v>344</v>
      </c>
      <c r="H115" s="365">
        <v>3</v>
      </c>
      <c r="I115" s="365" t="s">
        <v>30</v>
      </c>
      <c r="J115" s="364"/>
      <c r="K115" s="367"/>
      <c r="L115" s="365"/>
      <c r="M115" s="365"/>
      <c r="N115" s="365"/>
      <c r="O115" s="365"/>
      <c r="P115" s="367"/>
      <c r="Q115" s="367"/>
      <c r="R115" s="364"/>
      <c r="S115" s="364"/>
      <c r="T115" s="364"/>
      <c r="U115" s="367"/>
      <c r="V115" s="367"/>
      <c r="W115" s="367"/>
      <c r="X115" s="367"/>
      <c r="Y115" s="367"/>
      <c r="Z115" s="367"/>
      <c r="AA115" s="367"/>
      <c r="AB115" s="367"/>
      <c r="AC115" s="367">
        <v>4375000</v>
      </c>
      <c r="AD115" s="367"/>
      <c r="AE115" s="367"/>
      <c r="AF115" s="367"/>
      <c r="AG115" s="367">
        <v>742</v>
      </c>
    </row>
    <row r="116" spans="1:33" ht="12.75">
      <c r="A116" s="364">
        <v>77</v>
      </c>
      <c r="B116" s="364" t="s">
        <v>217</v>
      </c>
      <c r="C116" s="364"/>
      <c r="D116" s="365"/>
      <c r="E116" s="368" t="s">
        <v>338</v>
      </c>
      <c r="F116" s="365" t="s">
        <v>339</v>
      </c>
      <c r="G116" s="365" t="s">
        <v>355</v>
      </c>
      <c r="H116" s="365"/>
      <c r="I116" s="365" t="s">
        <v>30</v>
      </c>
      <c r="J116" s="364"/>
      <c r="K116" s="367"/>
      <c r="L116" s="365"/>
      <c r="M116" s="365"/>
      <c r="N116" s="365"/>
      <c r="O116" s="365"/>
      <c r="P116" s="367"/>
      <c r="Q116" s="367"/>
      <c r="R116" s="364"/>
      <c r="S116" s="364"/>
      <c r="T116" s="364"/>
      <c r="U116" s="367"/>
      <c r="V116" s="367"/>
      <c r="W116" s="367"/>
      <c r="X116" s="367"/>
      <c r="Y116" s="367"/>
      <c r="Z116" s="367"/>
      <c r="AA116" s="367"/>
      <c r="AB116" s="367"/>
      <c r="AC116" s="367">
        <v>4375000</v>
      </c>
      <c r="AD116" s="367"/>
      <c r="AE116" s="367"/>
      <c r="AF116" s="367"/>
      <c r="AG116" s="367">
        <v>571</v>
      </c>
    </row>
    <row r="117" spans="2:33" ht="12.75">
      <c r="B117" s="352" t="s">
        <v>369</v>
      </c>
      <c r="D117" s="66"/>
      <c r="E117" s="138"/>
      <c r="K117" s="81"/>
      <c r="L117" s="66"/>
      <c r="M117" s="66"/>
      <c r="N117" s="66"/>
      <c r="O117" s="66"/>
      <c r="P117" s="81"/>
      <c r="Q117" s="81"/>
      <c r="U117" s="81"/>
      <c r="V117" s="81"/>
      <c r="W117" s="81"/>
      <c r="X117" s="81"/>
      <c r="Y117" s="81"/>
      <c r="Z117" s="81"/>
      <c r="AA117" s="81"/>
      <c r="AB117" s="81"/>
      <c r="AC117" s="81"/>
      <c r="AD117" s="81"/>
      <c r="AE117" s="81"/>
      <c r="AF117" s="81"/>
      <c r="AG117" s="81"/>
    </row>
    <row r="118" spans="1:33" ht="12.75">
      <c r="A118" s="364">
        <v>78</v>
      </c>
      <c r="B118" s="364" t="s">
        <v>130</v>
      </c>
      <c r="C118" s="364"/>
      <c r="D118" s="365" t="s">
        <v>444</v>
      </c>
      <c r="E118" s="368" t="s">
        <v>338</v>
      </c>
      <c r="F118" s="365" t="s">
        <v>339</v>
      </c>
      <c r="G118" s="365" t="s">
        <v>340</v>
      </c>
      <c r="H118" s="365">
        <v>1</v>
      </c>
      <c r="I118" s="365" t="s">
        <v>30</v>
      </c>
      <c r="J118" s="364"/>
      <c r="K118" s="367">
        <v>3089000</v>
      </c>
      <c r="L118" s="365">
        <f aca="true" t="shared" si="4" ref="L118:L123">K118*1.0829</f>
        <v>3345078.1</v>
      </c>
      <c r="M118" s="365">
        <f aca="true" t="shared" si="5" ref="M118:M123">CEILING(L118*1.03,1000)</f>
        <v>3446000</v>
      </c>
      <c r="N118" s="365">
        <v>4414000</v>
      </c>
      <c r="O118" s="365">
        <v>7405000</v>
      </c>
      <c r="P118" s="367">
        <f>CEILING(N118*1.12,1000)</f>
        <v>4944000</v>
      </c>
      <c r="Q118" s="367">
        <f>O118-P118</f>
        <v>2461000</v>
      </c>
      <c r="R118" s="364">
        <f>Q118*0.38</f>
        <v>935180</v>
      </c>
      <c r="S118" s="364">
        <f>P118+R118</f>
        <v>5879180</v>
      </c>
      <c r="T118" s="364">
        <v>7405000</v>
      </c>
      <c r="U118" s="367">
        <f aca="true" t="shared" si="6" ref="U118:U123">CEILING(T118*1.06,1000)</f>
        <v>7850000</v>
      </c>
      <c r="V118" s="367" t="s">
        <v>270</v>
      </c>
      <c r="W118" s="367" t="s">
        <v>300</v>
      </c>
      <c r="X118" s="367">
        <v>11784000</v>
      </c>
      <c r="Y118" s="367">
        <v>9902000</v>
      </c>
      <c r="Z118" s="367">
        <f aca="true" t="shared" si="7" ref="Z118:Z123">X118-Y118</f>
        <v>1882000</v>
      </c>
      <c r="AA118" s="367">
        <f aca="true" t="shared" si="8" ref="AA118:AA123">Z118*45%</f>
        <v>846900</v>
      </c>
      <c r="AB118" s="367">
        <f aca="true" t="shared" si="9" ref="AB118:AB123">SUM(Y118,AA118)</f>
        <v>10748900</v>
      </c>
      <c r="AC118" s="367">
        <f aca="true" t="shared" si="10" ref="AC118:AC123">ROUNDUP(AB118,-3)</f>
        <v>10749000</v>
      </c>
      <c r="AD118" s="367"/>
      <c r="AE118" s="367"/>
      <c r="AF118" s="367"/>
      <c r="AG118" s="367">
        <v>1569</v>
      </c>
    </row>
    <row r="119" spans="1:33" ht="12.75">
      <c r="A119" s="364">
        <v>79</v>
      </c>
      <c r="B119" s="364" t="s">
        <v>370</v>
      </c>
      <c r="C119" s="364"/>
      <c r="D119" s="365"/>
      <c r="E119" s="368" t="s">
        <v>338</v>
      </c>
      <c r="F119" s="365" t="s">
        <v>339</v>
      </c>
      <c r="G119" s="365" t="s">
        <v>343</v>
      </c>
      <c r="H119" s="365">
        <v>2</v>
      </c>
      <c r="I119" s="365" t="s">
        <v>30</v>
      </c>
      <c r="J119" s="364"/>
      <c r="K119" s="367">
        <v>2624000</v>
      </c>
      <c r="L119" s="365">
        <f t="shared" si="4"/>
        <v>2841529.6</v>
      </c>
      <c r="M119" s="365">
        <f t="shared" si="5"/>
        <v>2927000</v>
      </c>
      <c r="N119" s="365">
        <v>4254000</v>
      </c>
      <c r="O119" s="365">
        <v>4532000</v>
      </c>
      <c r="P119" s="367">
        <v>3369000</v>
      </c>
      <c r="Q119" s="367">
        <f>O119-P119</f>
        <v>1163000</v>
      </c>
      <c r="R119" s="364">
        <f>Q119*0.38</f>
        <v>441940</v>
      </c>
      <c r="S119" s="364">
        <f>P119+R119</f>
        <v>3810940</v>
      </c>
      <c r="T119" s="364">
        <v>4254000</v>
      </c>
      <c r="U119" s="367">
        <f t="shared" si="6"/>
        <v>4510000</v>
      </c>
      <c r="V119" s="367" t="s">
        <v>275</v>
      </c>
      <c r="W119" s="367" t="s">
        <v>302</v>
      </c>
      <c r="X119" s="367">
        <v>7162000</v>
      </c>
      <c r="Y119" s="367">
        <v>6018000</v>
      </c>
      <c r="Z119" s="367">
        <f t="shared" si="7"/>
        <v>1144000</v>
      </c>
      <c r="AA119" s="367">
        <f t="shared" si="8"/>
        <v>514800</v>
      </c>
      <c r="AB119" s="367">
        <f t="shared" si="9"/>
        <v>6532800</v>
      </c>
      <c r="AC119" s="367">
        <f t="shared" si="10"/>
        <v>6533000</v>
      </c>
      <c r="AD119" s="367"/>
      <c r="AE119" s="367"/>
      <c r="AF119" s="367"/>
      <c r="AG119" s="367">
        <v>1026</v>
      </c>
    </row>
    <row r="120" spans="1:33" ht="12.75">
      <c r="A120" s="364">
        <v>80</v>
      </c>
      <c r="B120" s="364" t="s">
        <v>84</v>
      </c>
      <c r="C120" s="364"/>
      <c r="D120" s="365"/>
      <c r="E120" s="368" t="s">
        <v>572</v>
      </c>
      <c r="F120" s="365" t="s">
        <v>353</v>
      </c>
      <c r="G120" s="365" t="s">
        <v>340</v>
      </c>
      <c r="H120" s="365">
        <v>1</v>
      </c>
      <c r="I120" s="365" t="s">
        <v>552</v>
      </c>
      <c r="J120" s="364"/>
      <c r="K120" s="367">
        <v>2857000</v>
      </c>
      <c r="L120" s="365">
        <f t="shared" si="4"/>
        <v>3093845.3</v>
      </c>
      <c r="M120" s="365">
        <f t="shared" si="5"/>
        <v>3187000</v>
      </c>
      <c r="N120" s="365">
        <v>3546000</v>
      </c>
      <c r="O120" s="365">
        <v>7405000</v>
      </c>
      <c r="P120" s="367">
        <f>CEILING(N120*1.12,1000)</f>
        <v>3972000</v>
      </c>
      <c r="Q120" s="367">
        <f>O120-P120</f>
        <v>3433000</v>
      </c>
      <c r="R120" s="364">
        <f>Q120*0.38</f>
        <v>1304540</v>
      </c>
      <c r="S120" s="364">
        <f>P120+R120</f>
        <v>5276540</v>
      </c>
      <c r="T120" s="364">
        <v>7405000</v>
      </c>
      <c r="U120" s="367">
        <f t="shared" si="6"/>
        <v>7850000</v>
      </c>
      <c r="V120" s="367" t="s">
        <v>254</v>
      </c>
      <c r="W120" s="367" t="s">
        <v>298</v>
      </c>
      <c r="X120" s="367">
        <v>11289000</v>
      </c>
      <c r="Y120" s="367">
        <v>9902000</v>
      </c>
      <c r="Z120" s="367">
        <f t="shared" si="7"/>
        <v>1387000</v>
      </c>
      <c r="AA120" s="367">
        <f t="shared" si="8"/>
        <v>624150</v>
      </c>
      <c r="AB120" s="367">
        <f t="shared" si="9"/>
        <v>10526150</v>
      </c>
      <c r="AC120" s="367">
        <f t="shared" si="10"/>
        <v>10527000</v>
      </c>
      <c r="AD120" s="367"/>
      <c r="AE120" s="367"/>
      <c r="AF120" s="367"/>
      <c r="AG120" s="367">
        <v>1347</v>
      </c>
    </row>
    <row r="121" spans="1:33" ht="12.75">
      <c r="A121" s="364">
        <v>81</v>
      </c>
      <c r="B121" s="364" t="s">
        <v>76</v>
      </c>
      <c r="C121" s="364"/>
      <c r="D121" s="365"/>
      <c r="E121" s="368" t="s">
        <v>374</v>
      </c>
      <c r="F121" s="365" t="s">
        <v>345</v>
      </c>
      <c r="G121" s="365" t="s">
        <v>340</v>
      </c>
      <c r="H121" s="365">
        <v>1</v>
      </c>
      <c r="I121" s="365" t="s">
        <v>553</v>
      </c>
      <c r="J121" s="364"/>
      <c r="K121" s="367">
        <v>2624000</v>
      </c>
      <c r="L121" s="365">
        <f t="shared" si="4"/>
        <v>2841529.6</v>
      </c>
      <c r="M121" s="365">
        <f t="shared" si="5"/>
        <v>2927000</v>
      </c>
      <c r="N121" s="365">
        <v>3257000</v>
      </c>
      <c r="O121" s="365">
        <v>4532000</v>
      </c>
      <c r="P121" s="367">
        <f>CEILING(N121*1.12,1000)</f>
        <v>3648000</v>
      </c>
      <c r="Q121" s="367">
        <f>O121-P121</f>
        <v>884000</v>
      </c>
      <c r="R121" s="364">
        <f>Q121*0.38</f>
        <v>335920</v>
      </c>
      <c r="S121" s="364">
        <f>P121+R121</f>
        <v>3983920</v>
      </c>
      <c r="T121" s="364">
        <v>4532000</v>
      </c>
      <c r="U121" s="367">
        <f t="shared" si="6"/>
        <v>4804000</v>
      </c>
      <c r="V121" s="367" t="s">
        <v>257</v>
      </c>
      <c r="W121" s="367" t="s">
        <v>301</v>
      </c>
      <c r="X121" s="367">
        <v>7201000</v>
      </c>
      <c r="Y121" s="367">
        <v>6316000</v>
      </c>
      <c r="Z121" s="367">
        <f t="shared" si="7"/>
        <v>885000</v>
      </c>
      <c r="AA121" s="367">
        <f t="shared" si="8"/>
        <v>398250</v>
      </c>
      <c r="AB121" s="367">
        <f t="shared" si="9"/>
        <v>6714250</v>
      </c>
      <c r="AC121" s="367">
        <f t="shared" si="10"/>
        <v>6715000</v>
      </c>
      <c r="AD121" s="367"/>
      <c r="AE121" s="367"/>
      <c r="AF121" s="367"/>
      <c r="AG121" s="367">
        <v>861</v>
      </c>
    </row>
    <row r="122" spans="1:33" ht="12.75">
      <c r="A122" s="364">
        <v>82</v>
      </c>
      <c r="B122" s="364" t="s">
        <v>77</v>
      </c>
      <c r="C122" s="364"/>
      <c r="D122" s="365"/>
      <c r="E122" s="368" t="s">
        <v>374</v>
      </c>
      <c r="F122" s="365" t="s">
        <v>345</v>
      </c>
      <c r="G122" s="365" t="s">
        <v>340</v>
      </c>
      <c r="H122" s="365">
        <v>1</v>
      </c>
      <c r="I122" s="365" t="s">
        <v>553</v>
      </c>
      <c r="J122" s="364"/>
      <c r="K122" s="367">
        <v>2449000</v>
      </c>
      <c r="L122" s="365">
        <f t="shared" si="4"/>
        <v>2652022.1</v>
      </c>
      <c r="M122" s="365">
        <f t="shared" si="5"/>
        <v>2732000</v>
      </c>
      <c r="N122" s="365">
        <v>3257000</v>
      </c>
      <c r="O122" s="365">
        <v>4532000</v>
      </c>
      <c r="P122" s="367">
        <f>CEILING(N122*1.12,1000)</f>
        <v>3648000</v>
      </c>
      <c r="Q122" s="367">
        <f>O122-P122</f>
        <v>884000</v>
      </c>
      <c r="R122" s="364">
        <f>Q122*0.38</f>
        <v>335920</v>
      </c>
      <c r="S122" s="364">
        <f>P122+R122</f>
        <v>3983920</v>
      </c>
      <c r="T122" s="364">
        <v>4532000</v>
      </c>
      <c r="U122" s="367">
        <f t="shared" si="6"/>
        <v>4804000</v>
      </c>
      <c r="V122" s="367" t="s">
        <v>258</v>
      </c>
      <c r="W122" s="367" t="s">
        <v>303</v>
      </c>
      <c r="X122" s="367">
        <v>7201000</v>
      </c>
      <c r="Y122" s="367">
        <v>6316000</v>
      </c>
      <c r="Z122" s="367">
        <f t="shared" si="7"/>
        <v>885000</v>
      </c>
      <c r="AA122" s="367">
        <f t="shared" si="8"/>
        <v>398250</v>
      </c>
      <c r="AB122" s="367">
        <f t="shared" si="9"/>
        <v>6714250</v>
      </c>
      <c r="AC122" s="367">
        <f t="shared" si="10"/>
        <v>6715000</v>
      </c>
      <c r="AD122" s="367"/>
      <c r="AE122" s="367"/>
      <c r="AF122" s="367"/>
      <c r="AG122" s="367">
        <v>861</v>
      </c>
    </row>
    <row r="123" spans="1:33" ht="12.75">
      <c r="A123" s="364">
        <v>83</v>
      </c>
      <c r="B123" s="364" t="s">
        <v>126</v>
      </c>
      <c r="C123" s="364"/>
      <c r="D123" s="365"/>
      <c r="E123" s="368" t="s">
        <v>346</v>
      </c>
      <c r="F123" s="365" t="s">
        <v>345</v>
      </c>
      <c r="G123" s="365" t="s">
        <v>340</v>
      </c>
      <c r="H123" s="365">
        <v>1</v>
      </c>
      <c r="I123" s="365" t="s">
        <v>553</v>
      </c>
      <c r="J123" s="364"/>
      <c r="K123" s="364">
        <v>2624000</v>
      </c>
      <c r="L123" s="365">
        <f t="shared" si="4"/>
        <v>2841529.6</v>
      </c>
      <c r="M123" s="365">
        <f t="shared" si="5"/>
        <v>2927000</v>
      </c>
      <c r="N123" s="367">
        <v>3257000</v>
      </c>
      <c r="O123" s="367"/>
      <c r="P123" s="365">
        <f>CEILING(N123*1.12,1000)</f>
        <v>3648000</v>
      </c>
      <c r="Q123" s="365"/>
      <c r="R123" s="365"/>
      <c r="S123" s="365"/>
      <c r="T123" s="367">
        <v>4532000</v>
      </c>
      <c r="U123" s="367">
        <f t="shared" si="6"/>
        <v>4804000</v>
      </c>
      <c r="V123" s="367" t="s">
        <v>255</v>
      </c>
      <c r="W123" s="367" t="s">
        <v>299</v>
      </c>
      <c r="X123" s="367">
        <v>7201000</v>
      </c>
      <c r="Y123" s="367">
        <v>6316000</v>
      </c>
      <c r="Z123" s="367">
        <f t="shared" si="7"/>
        <v>885000</v>
      </c>
      <c r="AA123" s="367">
        <f t="shared" si="8"/>
        <v>398250</v>
      </c>
      <c r="AB123" s="367">
        <f t="shared" si="9"/>
        <v>6714250</v>
      </c>
      <c r="AC123" s="367">
        <f t="shared" si="10"/>
        <v>6715000</v>
      </c>
      <c r="AD123" s="367"/>
      <c r="AE123" s="367"/>
      <c r="AF123" s="367"/>
      <c r="AG123" s="367">
        <v>861</v>
      </c>
    </row>
    <row r="124" spans="1:33" ht="12.75">
      <c r="A124" s="63"/>
      <c r="B124" s="352" t="s">
        <v>371</v>
      </c>
      <c r="C124" s="63"/>
      <c r="D124" s="64"/>
      <c r="E124" s="63"/>
      <c r="F124" s="64"/>
      <c r="G124" s="64"/>
      <c r="H124" s="64"/>
      <c r="I124" s="365"/>
      <c r="J124" s="63"/>
      <c r="K124" s="175"/>
      <c r="L124" s="175"/>
      <c r="M124" s="175"/>
      <c r="N124" s="175"/>
      <c r="O124" s="175"/>
      <c r="P124" s="175"/>
      <c r="Q124" s="175"/>
      <c r="R124" s="175"/>
      <c r="S124" s="175"/>
      <c r="T124" s="175"/>
      <c r="U124" s="175"/>
      <c r="V124" s="175"/>
      <c r="W124" s="175"/>
      <c r="X124" s="175"/>
      <c r="Y124" s="175"/>
      <c r="Z124" s="175"/>
      <c r="AA124" s="175"/>
      <c r="AB124" s="175"/>
      <c r="AC124" s="175"/>
      <c r="AD124" s="81"/>
      <c r="AE124" s="81"/>
      <c r="AF124" s="81"/>
      <c r="AG124" s="81"/>
    </row>
    <row r="125" spans="1:33" ht="12.75">
      <c r="A125" s="364">
        <v>84</v>
      </c>
      <c r="B125" s="364" t="s">
        <v>158</v>
      </c>
      <c r="C125" s="364"/>
      <c r="D125" s="365"/>
      <c r="E125" s="368" t="s">
        <v>419</v>
      </c>
      <c r="F125" s="365" t="s">
        <v>339</v>
      </c>
      <c r="G125" s="365" t="s">
        <v>340</v>
      </c>
      <c r="H125" s="365">
        <v>1</v>
      </c>
      <c r="I125" s="365" t="s">
        <v>30</v>
      </c>
      <c r="J125" s="364"/>
      <c r="K125" s="367">
        <v>4023000</v>
      </c>
      <c r="L125" s="365">
        <f>K125*1.0829</f>
        <v>4356506.7</v>
      </c>
      <c r="M125" s="365">
        <f>CEILING(L125*1.03,1000)</f>
        <v>4488000</v>
      </c>
      <c r="N125" s="365">
        <v>4993000</v>
      </c>
      <c r="O125" s="365">
        <v>8200000</v>
      </c>
      <c r="P125" s="367">
        <f>CEILING(N125*1.12,1000)</f>
        <v>5593000</v>
      </c>
      <c r="Q125" s="367">
        <f>O125-P125</f>
        <v>2607000</v>
      </c>
      <c r="R125" s="364">
        <f>Q125*0.38</f>
        <v>990660</v>
      </c>
      <c r="S125" s="364">
        <f>P125+R125</f>
        <v>6583660</v>
      </c>
      <c r="T125" s="364">
        <v>8200000</v>
      </c>
      <c r="U125" s="367">
        <f>CEILING(T125*1.06,1000)</f>
        <v>8692000</v>
      </c>
      <c r="V125" s="367" t="s">
        <v>267</v>
      </c>
      <c r="W125" s="367" t="s">
        <v>297</v>
      </c>
      <c r="X125" s="367">
        <v>13158000</v>
      </c>
      <c r="Y125" s="367">
        <v>11057000</v>
      </c>
      <c r="Z125" s="367">
        <f>X125-Y125</f>
        <v>2101000</v>
      </c>
      <c r="AA125" s="367">
        <f>Z125*45%</f>
        <v>945450</v>
      </c>
      <c r="AB125" s="367">
        <f>SUM(Y125,AA125)</f>
        <v>12002450</v>
      </c>
      <c r="AC125" s="367">
        <f>ROUNDUP(AB125,-3)</f>
        <v>12003000</v>
      </c>
      <c r="AD125" s="367"/>
      <c r="AE125" s="367"/>
      <c r="AF125" s="367"/>
      <c r="AG125" s="367">
        <v>1569</v>
      </c>
    </row>
    <row r="126" spans="1:33" ht="12.75">
      <c r="A126" s="364">
        <v>85</v>
      </c>
      <c r="B126" s="364" t="s">
        <v>82</v>
      </c>
      <c r="C126" s="364"/>
      <c r="D126" s="365"/>
      <c r="E126" s="368" t="s">
        <v>338</v>
      </c>
      <c r="F126" s="365" t="s">
        <v>339</v>
      </c>
      <c r="G126" s="365" t="s">
        <v>340</v>
      </c>
      <c r="H126" s="365">
        <v>1</v>
      </c>
      <c r="I126" s="365" t="s">
        <v>30</v>
      </c>
      <c r="J126" s="364"/>
      <c r="K126" s="367">
        <v>4023000</v>
      </c>
      <c r="L126" s="365">
        <f>K126*1.0829</f>
        <v>4356506.7</v>
      </c>
      <c r="M126" s="365">
        <f>CEILING(L126*1.03,1000)</f>
        <v>4488000</v>
      </c>
      <c r="N126" s="365">
        <v>4993000</v>
      </c>
      <c r="O126" s="365">
        <v>8200000</v>
      </c>
      <c r="P126" s="367">
        <f>CEILING(N126*1.12,1000)</f>
        <v>5593000</v>
      </c>
      <c r="Q126" s="367">
        <f>O126-P126</f>
        <v>2607000</v>
      </c>
      <c r="R126" s="364">
        <f>Q126*0.38</f>
        <v>990660</v>
      </c>
      <c r="S126" s="364">
        <f>P126+R126</f>
        <v>6583660</v>
      </c>
      <c r="T126" s="364">
        <v>8200000</v>
      </c>
      <c r="U126" s="367">
        <f>CEILING(T126*1.06,1000)</f>
        <v>8692000</v>
      </c>
      <c r="V126" s="367" t="s">
        <v>267</v>
      </c>
      <c r="W126" s="367" t="s">
        <v>297</v>
      </c>
      <c r="X126" s="367">
        <v>13158000</v>
      </c>
      <c r="Y126" s="367">
        <v>11057000</v>
      </c>
      <c r="Z126" s="367">
        <f>X126-Y126</f>
        <v>2101000</v>
      </c>
      <c r="AA126" s="367">
        <f>Z126*45%</f>
        <v>945450</v>
      </c>
      <c r="AB126" s="367">
        <f>SUM(Y126,AA126)</f>
        <v>12002450</v>
      </c>
      <c r="AC126" s="367">
        <f>ROUNDUP(AB126,-3)</f>
        <v>12003000</v>
      </c>
      <c r="AD126" s="367"/>
      <c r="AE126" s="367"/>
      <c r="AF126" s="367"/>
      <c r="AG126" s="367">
        <v>1569</v>
      </c>
    </row>
    <row r="127" spans="1:33" ht="12.75">
      <c r="A127" s="364">
        <v>86</v>
      </c>
      <c r="B127" s="364" t="s">
        <v>447</v>
      </c>
      <c r="C127" s="364"/>
      <c r="D127" s="365"/>
      <c r="E127" s="368" t="s">
        <v>338</v>
      </c>
      <c r="F127" s="365" t="s">
        <v>339</v>
      </c>
      <c r="G127" s="365" t="s">
        <v>343</v>
      </c>
      <c r="H127" s="365">
        <v>2</v>
      </c>
      <c r="I127" s="365" t="s">
        <v>30</v>
      </c>
      <c r="J127" s="364"/>
      <c r="K127" s="367">
        <v>4023000</v>
      </c>
      <c r="L127" s="365">
        <f>K127*1.0829</f>
        <v>4356506.7</v>
      </c>
      <c r="M127" s="365">
        <f>CEILING(L127*1.03,1000)</f>
        <v>4488000</v>
      </c>
      <c r="N127" s="365">
        <v>4993000</v>
      </c>
      <c r="O127" s="365">
        <v>8200000</v>
      </c>
      <c r="P127" s="367">
        <f>CEILING(N127*1.12,1000)</f>
        <v>5593000</v>
      </c>
      <c r="Q127" s="367">
        <f>O127-P127</f>
        <v>2607000</v>
      </c>
      <c r="R127" s="364">
        <f>Q127*0.38</f>
        <v>990660</v>
      </c>
      <c r="S127" s="364">
        <f>P127+R127</f>
        <v>6583660</v>
      </c>
      <c r="T127" s="364">
        <v>8200000</v>
      </c>
      <c r="U127" s="367">
        <f>CEILING(T127*1.06,1000)</f>
        <v>8692000</v>
      </c>
      <c r="V127" s="367" t="s">
        <v>267</v>
      </c>
      <c r="W127" s="367" t="s">
        <v>297</v>
      </c>
      <c r="X127" s="367">
        <v>13158000</v>
      </c>
      <c r="Y127" s="367">
        <v>11057000</v>
      </c>
      <c r="Z127" s="367">
        <f>X127-Y127</f>
        <v>2101000</v>
      </c>
      <c r="AA127" s="367">
        <f>Z127*45%</f>
        <v>945450</v>
      </c>
      <c r="AB127" s="367">
        <f>SUM(Y127,AA127)</f>
        <v>12002450</v>
      </c>
      <c r="AC127" s="367">
        <f>ROUNDUP(AB127,-3)</f>
        <v>12003000</v>
      </c>
      <c r="AD127" s="367"/>
      <c r="AE127" s="367"/>
      <c r="AF127" s="367"/>
      <c r="AG127" s="367">
        <v>1026</v>
      </c>
    </row>
    <row r="128" spans="1:33" ht="12.75">
      <c r="A128" s="364">
        <v>87</v>
      </c>
      <c r="B128" s="364" t="s">
        <v>75</v>
      </c>
      <c r="C128" s="364"/>
      <c r="D128" s="365"/>
      <c r="E128" s="368" t="s">
        <v>572</v>
      </c>
      <c r="F128" s="365" t="s">
        <v>353</v>
      </c>
      <c r="G128" s="365" t="s">
        <v>340</v>
      </c>
      <c r="H128" s="365">
        <v>1</v>
      </c>
      <c r="I128" s="365" t="s">
        <v>552</v>
      </c>
      <c r="J128" s="364"/>
      <c r="K128" s="367">
        <v>2857000</v>
      </c>
      <c r="L128" s="365">
        <f>K128*1.0829</f>
        <v>3093845.3</v>
      </c>
      <c r="M128" s="365">
        <f>CEILING(L128*1.03,1000)</f>
        <v>3187000</v>
      </c>
      <c r="N128" s="365">
        <v>3546000</v>
      </c>
      <c r="O128" s="365">
        <v>7405000</v>
      </c>
      <c r="P128" s="367">
        <f>CEILING(N128*1.12,1000)</f>
        <v>3972000</v>
      </c>
      <c r="Q128" s="367">
        <f>O128-P128</f>
        <v>3433000</v>
      </c>
      <c r="R128" s="364">
        <f>Q128*0.38</f>
        <v>1304540</v>
      </c>
      <c r="S128" s="364">
        <f>P128+R128</f>
        <v>5276540</v>
      </c>
      <c r="T128" s="364">
        <v>7405000</v>
      </c>
      <c r="U128" s="367">
        <f>CEILING(T128*1.06,1000)</f>
        <v>7850000</v>
      </c>
      <c r="V128" s="367" t="s">
        <v>253</v>
      </c>
      <c r="W128" s="367" t="s">
        <v>292</v>
      </c>
      <c r="X128" s="367">
        <v>11289000</v>
      </c>
      <c r="Y128" s="367">
        <v>9902000</v>
      </c>
      <c r="Z128" s="367">
        <f>X128-Y128</f>
        <v>1387000</v>
      </c>
      <c r="AA128" s="367">
        <f>Z128*45%</f>
        <v>624150</v>
      </c>
      <c r="AB128" s="367">
        <f>SUM(Y128,AA128)</f>
        <v>10526150</v>
      </c>
      <c r="AC128" s="367">
        <f>ROUNDUP(AB128,-3)</f>
        <v>10527000</v>
      </c>
      <c r="AD128" s="367"/>
      <c r="AE128" s="367"/>
      <c r="AF128" s="367"/>
      <c r="AG128" s="367">
        <v>1347</v>
      </c>
    </row>
    <row r="129" spans="1:33" ht="12.75">
      <c r="A129" s="364">
        <v>88</v>
      </c>
      <c r="B129" s="364" t="s">
        <v>217</v>
      </c>
      <c r="C129" s="364"/>
      <c r="D129" s="365"/>
      <c r="E129" s="368" t="s">
        <v>338</v>
      </c>
      <c r="F129" s="365" t="s">
        <v>339</v>
      </c>
      <c r="G129" s="365" t="s">
        <v>355</v>
      </c>
      <c r="H129" s="365"/>
      <c r="I129" s="365" t="s">
        <v>30</v>
      </c>
      <c r="J129" s="364"/>
      <c r="K129" s="367"/>
      <c r="L129" s="365"/>
      <c r="M129" s="365"/>
      <c r="N129" s="365"/>
      <c r="O129" s="365"/>
      <c r="P129" s="367"/>
      <c r="Q129" s="367"/>
      <c r="R129" s="364"/>
      <c r="S129" s="364"/>
      <c r="T129" s="364"/>
      <c r="U129" s="367"/>
      <c r="V129" s="367"/>
      <c r="W129" s="367"/>
      <c r="X129" s="367"/>
      <c r="Y129" s="367"/>
      <c r="Z129" s="367"/>
      <c r="AA129" s="367"/>
      <c r="AB129" s="367"/>
      <c r="AC129" s="367">
        <v>4375000</v>
      </c>
      <c r="AD129" s="367"/>
      <c r="AE129" s="367"/>
      <c r="AF129" s="367"/>
      <c r="AG129" s="367">
        <v>571</v>
      </c>
    </row>
    <row r="130" spans="2:33" ht="12.75">
      <c r="B130" s="352" t="s">
        <v>372</v>
      </c>
      <c r="C130" s="63"/>
      <c r="D130" s="66"/>
      <c r="E130" s="138"/>
      <c r="K130" s="81"/>
      <c r="L130" s="66"/>
      <c r="M130" s="66"/>
      <c r="N130" s="66"/>
      <c r="O130" s="66"/>
      <c r="P130" s="81"/>
      <c r="Q130" s="81"/>
      <c r="U130" s="81"/>
      <c r="V130" s="81"/>
      <c r="W130" s="81"/>
      <c r="X130" s="81"/>
      <c r="Y130" s="81"/>
      <c r="Z130" s="81"/>
      <c r="AA130" s="81"/>
      <c r="AB130" s="81"/>
      <c r="AC130" s="81"/>
      <c r="AD130" s="81"/>
      <c r="AE130" s="81"/>
      <c r="AF130" s="81"/>
      <c r="AG130" s="81"/>
    </row>
    <row r="131" spans="1:33" ht="12.75">
      <c r="A131" s="364">
        <v>89</v>
      </c>
      <c r="B131" s="364" t="s">
        <v>48</v>
      </c>
      <c r="C131" s="364"/>
      <c r="D131" s="364"/>
      <c r="E131" s="364"/>
      <c r="F131" s="372"/>
      <c r="G131" s="372"/>
      <c r="H131" s="372"/>
      <c r="I131" s="365"/>
      <c r="J131" s="364" t="s">
        <v>33</v>
      </c>
      <c r="K131" s="364">
        <v>4569000</v>
      </c>
      <c r="L131" s="367">
        <f>CEILING(K131*1.06,1000)</f>
        <v>4844000</v>
      </c>
      <c r="M131" s="367">
        <v>5713000</v>
      </c>
      <c r="N131" s="373">
        <v>0.25</v>
      </c>
      <c r="O131" s="364" t="e">
        <f>#REF!*N131</f>
        <v>#REF!</v>
      </c>
      <c r="P131" s="367"/>
      <c r="Q131" s="364"/>
      <c r="R131" s="364" t="e">
        <f>SUM(#REF!,O131)</f>
        <v>#REF!</v>
      </c>
      <c r="S131" s="369"/>
      <c r="T131" s="369"/>
      <c r="U131" s="369"/>
      <c r="V131" s="369"/>
      <c r="W131" s="369"/>
      <c r="X131" s="369"/>
      <c r="Y131" s="369"/>
      <c r="Z131" s="369"/>
      <c r="AA131" s="369"/>
      <c r="AB131" s="369"/>
      <c r="AC131" s="367">
        <v>5713000</v>
      </c>
      <c r="AD131" s="364" t="s">
        <v>554</v>
      </c>
      <c r="AE131" s="367" t="s">
        <v>551</v>
      </c>
      <c r="AF131" s="367" t="s">
        <v>552</v>
      </c>
      <c r="AG131" s="367">
        <v>1243</v>
      </c>
    </row>
    <row r="132" spans="1:33" ht="12.75">
      <c r="A132" s="364">
        <v>90</v>
      </c>
      <c r="B132" s="364" t="s">
        <v>49</v>
      </c>
      <c r="C132" s="364"/>
      <c r="D132" s="364"/>
      <c r="E132" s="364"/>
      <c r="F132" s="372"/>
      <c r="G132" s="372"/>
      <c r="H132" s="372"/>
      <c r="I132" s="365"/>
      <c r="J132" s="364"/>
      <c r="K132" s="364">
        <v>4197000</v>
      </c>
      <c r="L132" s="367">
        <f aca="true" t="shared" si="11" ref="L132:L146">CEILING(K132*1.06,1000)</f>
        <v>4449000</v>
      </c>
      <c r="M132" s="367">
        <v>5247000</v>
      </c>
      <c r="N132" s="373">
        <v>0.25</v>
      </c>
      <c r="O132" s="364" t="e">
        <f>#REF!*N132</f>
        <v>#REF!</v>
      </c>
      <c r="P132" s="364"/>
      <c r="Q132" s="364"/>
      <c r="R132" s="364" t="e">
        <f>SUM(#REF!,O132)</f>
        <v>#REF!</v>
      </c>
      <c r="S132" s="369"/>
      <c r="T132" s="369"/>
      <c r="U132" s="369"/>
      <c r="V132" s="369"/>
      <c r="W132" s="369"/>
      <c r="X132" s="369"/>
      <c r="Y132" s="369"/>
      <c r="Z132" s="369"/>
      <c r="AA132" s="369"/>
      <c r="AB132" s="369"/>
      <c r="AC132" s="367">
        <v>5247000</v>
      </c>
      <c r="AD132" s="364" t="s">
        <v>408</v>
      </c>
      <c r="AE132" s="367" t="s">
        <v>551</v>
      </c>
      <c r="AF132" s="367" t="s">
        <v>553</v>
      </c>
      <c r="AG132" s="367">
        <v>725</v>
      </c>
    </row>
    <row r="133" spans="1:33" ht="12.75">
      <c r="A133" s="364">
        <v>91</v>
      </c>
      <c r="B133" s="364" t="s">
        <v>50</v>
      </c>
      <c r="C133" s="364"/>
      <c r="D133" s="364"/>
      <c r="E133" s="364"/>
      <c r="F133" s="372"/>
      <c r="G133" s="372"/>
      <c r="H133" s="372"/>
      <c r="I133" s="365"/>
      <c r="J133" s="364"/>
      <c r="K133" s="364">
        <v>3569000</v>
      </c>
      <c r="L133" s="367">
        <f t="shared" si="11"/>
        <v>3784000</v>
      </c>
      <c r="M133" s="367">
        <v>4338000</v>
      </c>
      <c r="N133" s="373">
        <v>0.25</v>
      </c>
      <c r="O133" s="364" t="e">
        <f>#REF!*N133</f>
        <v>#REF!</v>
      </c>
      <c r="P133" s="364"/>
      <c r="Q133" s="364"/>
      <c r="R133" s="364" t="e">
        <f>SUM(#REF!,O133)</f>
        <v>#REF!</v>
      </c>
      <c r="S133" s="369"/>
      <c r="T133" s="369"/>
      <c r="U133" s="369"/>
      <c r="V133" s="369"/>
      <c r="W133" s="369"/>
      <c r="X133" s="369"/>
      <c r="Y133" s="369"/>
      <c r="Z133" s="369"/>
      <c r="AA133" s="369"/>
      <c r="AB133" s="369"/>
      <c r="AC133" s="367">
        <v>4338000</v>
      </c>
      <c r="AD133" s="364" t="s">
        <v>555</v>
      </c>
      <c r="AE133" s="367" t="s">
        <v>339</v>
      </c>
      <c r="AF133" s="367" t="s">
        <v>553</v>
      </c>
      <c r="AG133" s="367">
        <v>643</v>
      </c>
    </row>
    <row r="134" spans="1:33" ht="12.75">
      <c r="A134" s="364">
        <v>92</v>
      </c>
      <c r="B134" s="364" t="s">
        <v>52</v>
      </c>
      <c r="C134" s="364"/>
      <c r="D134" s="364"/>
      <c r="E134" s="364"/>
      <c r="F134" s="372"/>
      <c r="G134" s="372"/>
      <c r="H134" s="372"/>
      <c r="I134" s="365"/>
      <c r="J134" s="364"/>
      <c r="K134" s="364">
        <v>3569000</v>
      </c>
      <c r="L134" s="367">
        <f t="shared" si="11"/>
        <v>3784000</v>
      </c>
      <c r="M134" s="367">
        <v>4338000</v>
      </c>
      <c r="N134" s="373">
        <v>0.25</v>
      </c>
      <c r="O134" s="364" t="e">
        <f>#REF!*N134</f>
        <v>#REF!</v>
      </c>
      <c r="P134" s="364"/>
      <c r="Q134" s="364"/>
      <c r="R134" s="364" t="e">
        <f>SUM(#REF!,O134)</f>
        <v>#REF!</v>
      </c>
      <c r="S134" s="369"/>
      <c r="T134" s="369"/>
      <c r="U134" s="369"/>
      <c r="V134" s="369"/>
      <c r="W134" s="369"/>
      <c r="X134" s="369"/>
      <c r="Y134" s="369"/>
      <c r="Z134" s="369"/>
      <c r="AA134" s="369"/>
      <c r="AB134" s="369"/>
      <c r="AC134" s="367">
        <v>4338000</v>
      </c>
      <c r="AD134" s="364" t="s">
        <v>556</v>
      </c>
      <c r="AE134" s="367" t="s">
        <v>339</v>
      </c>
      <c r="AF134" s="367" t="s">
        <v>553</v>
      </c>
      <c r="AG134" s="367">
        <v>567</v>
      </c>
    </row>
    <row r="135" spans="1:33" ht="12.75">
      <c r="A135" s="364">
        <v>93</v>
      </c>
      <c r="B135" s="364" t="s">
        <v>588</v>
      </c>
      <c r="C135" s="364"/>
      <c r="D135" s="364"/>
      <c r="E135" s="364"/>
      <c r="F135" s="372"/>
      <c r="G135" s="372"/>
      <c r="H135" s="372"/>
      <c r="I135" s="365"/>
      <c r="J135" s="364"/>
      <c r="K135" s="364">
        <v>3406000</v>
      </c>
      <c r="L135" s="367">
        <f>CEILING(K135*1.06,1000)</f>
        <v>3611000</v>
      </c>
      <c r="M135" s="367">
        <v>4139000</v>
      </c>
      <c r="N135" s="373">
        <v>0.25</v>
      </c>
      <c r="O135" s="364" t="e">
        <f>#REF!*N135</f>
        <v>#REF!</v>
      </c>
      <c r="P135" s="364"/>
      <c r="Q135" s="364"/>
      <c r="R135" s="364" t="e">
        <f>SUM(#REF!,O135)</f>
        <v>#REF!</v>
      </c>
      <c r="S135" s="369"/>
      <c r="T135" s="369"/>
      <c r="U135" s="369"/>
      <c r="V135" s="369"/>
      <c r="W135" s="369"/>
      <c r="X135" s="369"/>
      <c r="Y135" s="369"/>
      <c r="Z135" s="369"/>
      <c r="AA135" s="369"/>
      <c r="AB135" s="369"/>
      <c r="AC135" s="367">
        <v>4139000</v>
      </c>
      <c r="AD135" s="364" t="s">
        <v>557</v>
      </c>
      <c r="AE135" s="367"/>
      <c r="AF135" s="367"/>
      <c r="AG135" s="367">
        <v>741</v>
      </c>
    </row>
    <row r="136" spans="1:33" ht="12.75">
      <c r="A136" s="364">
        <v>94</v>
      </c>
      <c r="B136" s="364" t="s">
        <v>54</v>
      </c>
      <c r="C136" s="364"/>
      <c r="D136" s="364"/>
      <c r="E136" s="364"/>
      <c r="F136" s="372"/>
      <c r="G136" s="372"/>
      <c r="H136" s="372"/>
      <c r="I136" s="365"/>
      <c r="J136" s="364"/>
      <c r="K136" s="364">
        <v>3856000</v>
      </c>
      <c r="L136" s="367">
        <f t="shared" si="11"/>
        <v>4088000</v>
      </c>
      <c r="M136" s="367">
        <v>4686000</v>
      </c>
      <c r="N136" s="373">
        <v>0.25</v>
      </c>
      <c r="O136" s="364" t="e">
        <f>#REF!*N136</f>
        <v>#REF!</v>
      </c>
      <c r="P136" s="364"/>
      <c r="Q136" s="364"/>
      <c r="R136" s="364" t="e">
        <f>SUM(#REF!,O136)</f>
        <v>#REF!</v>
      </c>
      <c r="S136" s="369"/>
      <c r="T136" s="369"/>
      <c r="U136" s="369"/>
      <c r="V136" s="369"/>
      <c r="W136" s="369"/>
      <c r="X136" s="369"/>
      <c r="Y136" s="369"/>
      <c r="Z136" s="369"/>
      <c r="AA136" s="369"/>
      <c r="AB136" s="369"/>
      <c r="AC136" s="367">
        <v>4686000</v>
      </c>
      <c r="AD136" s="364" t="s">
        <v>557</v>
      </c>
      <c r="AE136" s="367"/>
      <c r="AF136" s="367"/>
      <c r="AG136" s="367">
        <v>741</v>
      </c>
    </row>
    <row r="137" spans="1:33" ht="12.75">
      <c r="A137" s="364">
        <v>95</v>
      </c>
      <c r="B137" s="364" t="s">
        <v>155</v>
      </c>
      <c r="C137" s="364"/>
      <c r="D137" s="364"/>
      <c r="E137" s="364"/>
      <c r="F137" s="372"/>
      <c r="G137" s="372"/>
      <c r="H137" s="372"/>
      <c r="I137" s="365"/>
      <c r="J137" s="364"/>
      <c r="K137" s="364">
        <v>3406000</v>
      </c>
      <c r="L137" s="367">
        <f t="shared" si="11"/>
        <v>3611000</v>
      </c>
      <c r="M137" s="367">
        <v>4139000</v>
      </c>
      <c r="N137" s="373">
        <v>0.25</v>
      </c>
      <c r="O137" s="364" t="e">
        <f>#REF!*N137</f>
        <v>#REF!</v>
      </c>
      <c r="P137" s="364"/>
      <c r="Q137" s="364"/>
      <c r="R137" s="364" t="e">
        <f>SUM(#REF!,O137)</f>
        <v>#REF!</v>
      </c>
      <c r="S137" s="369"/>
      <c r="T137" s="369"/>
      <c r="U137" s="369"/>
      <c r="V137" s="369"/>
      <c r="W137" s="369"/>
      <c r="X137" s="369"/>
      <c r="Y137" s="369"/>
      <c r="Z137" s="369"/>
      <c r="AA137" s="369"/>
      <c r="AB137" s="369"/>
      <c r="AC137" s="367">
        <v>4139000</v>
      </c>
      <c r="AD137" s="364" t="s">
        <v>557</v>
      </c>
      <c r="AE137" s="367"/>
      <c r="AF137" s="367"/>
      <c r="AG137" s="367">
        <v>741</v>
      </c>
    </row>
    <row r="138" spans="1:33" ht="12.75">
      <c r="A138" s="364">
        <v>96</v>
      </c>
      <c r="B138" s="364" t="s">
        <v>55</v>
      </c>
      <c r="C138" s="364"/>
      <c r="D138" s="364"/>
      <c r="E138" s="364"/>
      <c r="F138" s="372"/>
      <c r="G138" s="372"/>
      <c r="H138" s="372"/>
      <c r="I138" s="365"/>
      <c r="J138" s="364"/>
      <c r="K138" s="364">
        <v>3406000</v>
      </c>
      <c r="L138" s="367">
        <f t="shared" si="11"/>
        <v>3611000</v>
      </c>
      <c r="M138" s="367">
        <v>4139000</v>
      </c>
      <c r="N138" s="373">
        <v>0.25</v>
      </c>
      <c r="O138" s="364" t="e">
        <f>#REF!*N138</f>
        <v>#REF!</v>
      </c>
      <c r="P138" s="364"/>
      <c r="Q138" s="364"/>
      <c r="R138" s="364" t="e">
        <f>SUM(#REF!,O138)</f>
        <v>#REF!</v>
      </c>
      <c r="S138" s="369"/>
      <c r="T138" s="369"/>
      <c r="U138" s="369"/>
      <c r="V138" s="369"/>
      <c r="W138" s="369"/>
      <c r="X138" s="369"/>
      <c r="Y138" s="369"/>
      <c r="Z138" s="369"/>
      <c r="AA138" s="369"/>
      <c r="AB138" s="369"/>
      <c r="AC138" s="367">
        <v>4139000</v>
      </c>
      <c r="AD138" s="364" t="s">
        <v>557</v>
      </c>
      <c r="AE138" s="367"/>
      <c r="AF138" s="367"/>
      <c r="AG138" s="367">
        <v>741</v>
      </c>
    </row>
    <row r="139" spans="1:33" ht="12.75">
      <c r="A139" s="364">
        <v>97</v>
      </c>
      <c r="B139" s="364" t="s">
        <v>56</v>
      </c>
      <c r="C139" s="364"/>
      <c r="D139" s="364"/>
      <c r="E139" s="364"/>
      <c r="F139" s="372"/>
      <c r="G139" s="372"/>
      <c r="H139" s="372"/>
      <c r="I139" s="365"/>
      <c r="J139" s="364"/>
      <c r="K139" s="364">
        <v>3406000</v>
      </c>
      <c r="L139" s="367">
        <f t="shared" si="11"/>
        <v>3611000</v>
      </c>
      <c r="M139" s="367">
        <v>4139000</v>
      </c>
      <c r="N139" s="373">
        <v>0.25</v>
      </c>
      <c r="O139" s="364" t="e">
        <f>#REF!*N139</f>
        <v>#REF!</v>
      </c>
      <c r="P139" s="364"/>
      <c r="Q139" s="364"/>
      <c r="R139" s="364" t="e">
        <f>SUM(#REF!,O139)</f>
        <v>#REF!</v>
      </c>
      <c r="S139" s="369"/>
      <c r="T139" s="369"/>
      <c r="U139" s="369"/>
      <c r="V139" s="369"/>
      <c r="W139" s="369"/>
      <c r="X139" s="369"/>
      <c r="Y139" s="369"/>
      <c r="Z139" s="369"/>
      <c r="AA139" s="369"/>
      <c r="AB139" s="369"/>
      <c r="AC139" s="367">
        <v>4139000</v>
      </c>
      <c r="AD139" s="364" t="s">
        <v>557</v>
      </c>
      <c r="AE139" s="367"/>
      <c r="AF139" s="367"/>
      <c r="AG139" s="367">
        <v>741</v>
      </c>
    </row>
    <row r="140" spans="1:33" ht="12.75">
      <c r="A140" s="364">
        <v>98</v>
      </c>
      <c r="B140" s="364" t="s">
        <v>59</v>
      </c>
      <c r="C140" s="364"/>
      <c r="D140" s="364"/>
      <c r="E140" s="364"/>
      <c r="F140" s="372"/>
      <c r="G140" s="372"/>
      <c r="H140" s="372"/>
      <c r="I140" s="365"/>
      <c r="J140" s="364"/>
      <c r="K140" s="364">
        <v>3406000</v>
      </c>
      <c r="L140" s="367">
        <f t="shared" si="11"/>
        <v>3611000</v>
      </c>
      <c r="M140" s="367">
        <v>4139000</v>
      </c>
      <c r="N140" s="373">
        <v>0.15</v>
      </c>
      <c r="O140" s="364" t="e">
        <f>#REF!*N140</f>
        <v>#REF!</v>
      </c>
      <c r="P140" s="364"/>
      <c r="Q140" s="364"/>
      <c r="R140" s="364" t="e">
        <f>SUM(#REF!,O140)</f>
        <v>#REF!</v>
      </c>
      <c r="S140" s="369"/>
      <c r="T140" s="369"/>
      <c r="U140" s="369"/>
      <c r="V140" s="369"/>
      <c r="W140" s="369"/>
      <c r="X140" s="369"/>
      <c r="Y140" s="369"/>
      <c r="Z140" s="369"/>
      <c r="AA140" s="369"/>
      <c r="AB140" s="369"/>
      <c r="AC140" s="367">
        <v>4139000</v>
      </c>
      <c r="AD140" s="364" t="s">
        <v>557</v>
      </c>
      <c r="AE140" s="367"/>
      <c r="AF140" s="367"/>
      <c r="AG140" s="367">
        <v>741</v>
      </c>
    </row>
    <row r="141" spans="1:33" ht="12.75">
      <c r="A141" s="364">
        <v>99</v>
      </c>
      <c r="B141" s="364" t="s">
        <v>599</v>
      </c>
      <c r="C141" s="364"/>
      <c r="D141" s="364"/>
      <c r="E141" s="364"/>
      <c r="F141" s="372"/>
      <c r="G141" s="372"/>
      <c r="H141" s="372"/>
      <c r="I141" s="365"/>
      <c r="J141" s="364"/>
      <c r="K141" s="364"/>
      <c r="L141" s="367"/>
      <c r="M141" s="367"/>
      <c r="N141" s="373"/>
      <c r="O141" s="364"/>
      <c r="P141" s="364"/>
      <c r="Q141" s="364"/>
      <c r="R141" s="364"/>
      <c r="S141" s="369"/>
      <c r="T141" s="369"/>
      <c r="U141" s="369"/>
      <c r="V141" s="369"/>
      <c r="W141" s="369"/>
      <c r="X141" s="369"/>
      <c r="Y141" s="369"/>
      <c r="Z141" s="369"/>
      <c r="AA141" s="369"/>
      <c r="AB141" s="369"/>
      <c r="AC141" s="367"/>
      <c r="AD141" s="364" t="s">
        <v>557</v>
      </c>
      <c r="AE141" s="367"/>
      <c r="AF141" s="367"/>
      <c r="AG141" s="367">
        <v>741</v>
      </c>
    </row>
    <row r="142" spans="1:33" ht="12.75">
      <c r="A142" s="364">
        <v>100</v>
      </c>
      <c r="B142" s="364" t="s">
        <v>240</v>
      </c>
      <c r="C142" s="364"/>
      <c r="D142" s="364"/>
      <c r="E142" s="364"/>
      <c r="F142" s="372"/>
      <c r="G142" s="372"/>
      <c r="H142" s="372"/>
      <c r="I142" s="365"/>
      <c r="J142" s="364"/>
      <c r="K142" s="364">
        <v>3406000</v>
      </c>
      <c r="L142" s="367">
        <f t="shared" si="11"/>
        <v>3611000</v>
      </c>
      <c r="M142" s="367">
        <v>4139000</v>
      </c>
      <c r="N142" s="373">
        <v>0.25</v>
      </c>
      <c r="O142" s="364" t="e">
        <f>#REF!*N142</f>
        <v>#REF!</v>
      </c>
      <c r="P142" s="373">
        <v>0.12</v>
      </c>
      <c r="Q142" s="364" t="e">
        <f>#REF!*P142</f>
        <v>#REF!</v>
      </c>
      <c r="R142" s="364" t="e">
        <f>SUM(#REF!,O142:Q142)</f>
        <v>#REF!</v>
      </c>
      <c r="S142" s="369"/>
      <c r="T142" s="369"/>
      <c r="U142" s="369"/>
      <c r="V142" s="369"/>
      <c r="W142" s="369"/>
      <c r="X142" s="369"/>
      <c r="Y142" s="369"/>
      <c r="Z142" s="369"/>
      <c r="AA142" s="369"/>
      <c r="AB142" s="369"/>
      <c r="AC142" s="367">
        <v>4139000</v>
      </c>
      <c r="AD142" s="364" t="s">
        <v>558</v>
      </c>
      <c r="AE142" s="367" t="s">
        <v>353</v>
      </c>
      <c r="AF142" s="367"/>
      <c r="AG142" s="367">
        <v>581</v>
      </c>
    </row>
    <row r="143" spans="1:33" ht="12.75">
      <c r="A143" s="364">
        <v>101</v>
      </c>
      <c r="B143" s="364" t="s">
        <v>62</v>
      </c>
      <c r="C143" s="364"/>
      <c r="D143" s="364"/>
      <c r="E143" s="364"/>
      <c r="F143" s="372"/>
      <c r="G143" s="372"/>
      <c r="H143" s="372"/>
      <c r="I143" s="365"/>
      <c r="J143" s="364"/>
      <c r="K143" s="364">
        <v>3406000</v>
      </c>
      <c r="L143" s="367">
        <f t="shared" si="11"/>
        <v>3611000</v>
      </c>
      <c r="M143" s="367">
        <v>4139000</v>
      </c>
      <c r="N143" s="373">
        <v>0.25</v>
      </c>
      <c r="O143" s="364" t="e">
        <f>#REF!*N143</f>
        <v>#REF!</v>
      </c>
      <c r="P143" s="373">
        <v>0.15</v>
      </c>
      <c r="Q143" s="364" t="e">
        <f>#REF!*P143</f>
        <v>#REF!</v>
      </c>
      <c r="R143" s="364" t="e">
        <f>SUM(#REF!,O143:Q143)</f>
        <v>#REF!</v>
      </c>
      <c r="S143" s="369"/>
      <c r="T143" s="369"/>
      <c r="U143" s="369"/>
      <c r="V143" s="369"/>
      <c r="W143" s="369"/>
      <c r="X143" s="369"/>
      <c r="Y143" s="369"/>
      <c r="Z143" s="369"/>
      <c r="AA143" s="369"/>
      <c r="AB143" s="369"/>
      <c r="AC143" s="367">
        <v>4139000</v>
      </c>
      <c r="AD143" s="364" t="s">
        <v>584</v>
      </c>
      <c r="AE143" s="367" t="s">
        <v>353</v>
      </c>
      <c r="AF143" s="367"/>
      <c r="AG143" s="367">
        <v>581</v>
      </c>
    </row>
    <row r="144" spans="1:33" ht="12.75">
      <c r="A144" s="364">
        <v>102</v>
      </c>
      <c r="B144" s="364" t="s">
        <v>64</v>
      </c>
      <c r="C144" s="364"/>
      <c r="D144" s="364"/>
      <c r="E144" s="364"/>
      <c r="F144" s="372"/>
      <c r="G144" s="372"/>
      <c r="H144" s="372"/>
      <c r="I144" s="365"/>
      <c r="J144" s="364"/>
      <c r="K144" s="364">
        <v>3406000</v>
      </c>
      <c r="L144" s="367">
        <f t="shared" si="11"/>
        <v>3611000</v>
      </c>
      <c r="M144" s="367">
        <v>4139000</v>
      </c>
      <c r="N144" s="373">
        <v>0.25</v>
      </c>
      <c r="O144" s="364" t="e">
        <f>#REF!*N144</f>
        <v>#REF!</v>
      </c>
      <c r="P144" s="364"/>
      <c r="Q144" s="364"/>
      <c r="R144" s="364" t="e">
        <f>SUM(#REF!,O144)</f>
        <v>#REF!</v>
      </c>
      <c r="S144" s="369"/>
      <c r="T144" s="369"/>
      <c r="U144" s="369"/>
      <c r="V144" s="369"/>
      <c r="W144" s="369"/>
      <c r="X144" s="369"/>
      <c r="Y144" s="369"/>
      <c r="Z144" s="369"/>
      <c r="AA144" s="369"/>
      <c r="AB144" s="369"/>
      <c r="AC144" s="367">
        <v>4139000</v>
      </c>
      <c r="AD144" s="364" t="s">
        <v>559</v>
      </c>
      <c r="AE144" s="367" t="s">
        <v>353</v>
      </c>
      <c r="AF144" s="367"/>
      <c r="AG144" s="367">
        <v>581</v>
      </c>
    </row>
    <row r="145" spans="1:33" ht="12.75">
      <c r="A145" s="364">
        <v>103</v>
      </c>
      <c r="B145" s="364" t="s">
        <v>65</v>
      </c>
      <c r="C145" s="364"/>
      <c r="D145" s="364"/>
      <c r="E145" s="364"/>
      <c r="F145" s="372"/>
      <c r="G145" s="372"/>
      <c r="H145" s="372"/>
      <c r="I145" s="365"/>
      <c r="J145" s="364"/>
      <c r="K145" s="364">
        <v>3406000</v>
      </c>
      <c r="L145" s="367">
        <f t="shared" si="11"/>
        <v>3611000</v>
      </c>
      <c r="M145" s="367">
        <v>4139000</v>
      </c>
      <c r="N145" s="373">
        <v>0.2</v>
      </c>
      <c r="O145" s="364" t="e">
        <f>#REF!*N145</f>
        <v>#REF!</v>
      </c>
      <c r="P145" s="364"/>
      <c r="Q145" s="364"/>
      <c r="R145" s="364" t="e">
        <f>SUM(#REF!,O145)</f>
        <v>#REF!</v>
      </c>
      <c r="S145" s="369"/>
      <c r="T145" s="369"/>
      <c r="U145" s="369"/>
      <c r="V145" s="369"/>
      <c r="W145" s="369"/>
      <c r="X145" s="369"/>
      <c r="Y145" s="369"/>
      <c r="Z145" s="369"/>
      <c r="AA145" s="369"/>
      <c r="AB145" s="369"/>
      <c r="AC145" s="367">
        <v>4139000</v>
      </c>
      <c r="AD145" s="364" t="s">
        <v>559</v>
      </c>
      <c r="AE145" s="367" t="s">
        <v>353</v>
      </c>
      <c r="AF145" s="367"/>
      <c r="AG145" s="367">
        <v>581</v>
      </c>
    </row>
    <row r="146" spans="1:33" ht="12.75">
      <c r="A146" s="364">
        <v>104</v>
      </c>
      <c r="B146" s="364" t="s">
        <v>66</v>
      </c>
      <c r="C146" s="364"/>
      <c r="D146" s="364"/>
      <c r="E146" s="364"/>
      <c r="F146" s="372"/>
      <c r="G146" s="372"/>
      <c r="H146" s="372"/>
      <c r="I146" s="365"/>
      <c r="J146" s="364"/>
      <c r="K146" s="364">
        <v>3406000</v>
      </c>
      <c r="L146" s="367">
        <f t="shared" si="11"/>
        <v>3611000</v>
      </c>
      <c r="M146" s="367">
        <v>4139000</v>
      </c>
      <c r="N146" s="373">
        <v>0.25</v>
      </c>
      <c r="O146" s="364" t="e">
        <f>#REF!*N146</f>
        <v>#REF!</v>
      </c>
      <c r="P146" s="364"/>
      <c r="Q146" s="364"/>
      <c r="R146" s="364" t="e">
        <f>SUM(#REF!,O146)</f>
        <v>#REF!</v>
      </c>
      <c r="S146" s="369"/>
      <c r="T146" s="369"/>
      <c r="U146" s="369"/>
      <c r="V146" s="369"/>
      <c r="W146" s="369"/>
      <c r="X146" s="369"/>
      <c r="Y146" s="369"/>
      <c r="Z146" s="369"/>
      <c r="AA146" s="369"/>
      <c r="AB146" s="369"/>
      <c r="AC146" s="367">
        <v>4139000</v>
      </c>
      <c r="AD146" s="364" t="s">
        <v>559</v>
      </c>
      <c r="AE146" s="367" t="s">
        <v>353</v>
      </c>
      <c r="AF146" s="367"/>
      <c r="AG146" s="367">
        <v>581</v>
      </c>
    </row>
    <row r="147" spans="1:33" ht="12.75">
      <c r="A147" s="364">
        <v>105</v>
      </c>
      <c r="B147" s="364" t="s">
        <v>57</v>
      </c>
      <c r="C147" s="364"/>
      <c r="D147" s="364"/>
      <c r="E147" s="364"/>
      <c r="F147" s="372"/>
      <c r="G147" s="372"/>
      <c r="H147" s="372"/>
      <c r="I147" s="365"/>
      <c r="J147" s="364"/>
      <c r="K147" s="364">
        <v>3406000</v>
      </c>
      <c r="L147" s="367">
        <f>CEILING(K147*1.06,1000)</f>
        <v>3611000</v>
      </c>
      <c r="M147" s="367">
        <v>4139000</v>
      </c>
      <c r="N147" s="373">
        <v>0.25</v>
      </c>
      <c r="O147" s="364" t="e">
        <f>#REF!*N147</f>
        <v>#REF!</v>
      </c>
      <c r="P147" s="364"/>
      <c r="Q147" s="364"/>
      <c r="R147" s="364" t="e">
        <f>SUM(#REF!,O147)</f>
        <v>#REF!</v>
      </c>
      <c r="S147" s="369"/>
      <c r="T147" s="369"/>
      <c r="U147" s="369"/>
      <c r="V147" s="369"/>
      <c r="W147" s="369"/>
      <c r="X147" s="369"/>
      <c r="Y147" s="369"/>
      <c r="Z147" s="369"/>
      <c r="AA147" s="369"/>
      <c r="AB147" s="369"/>
      <c r="AC147" s="367">
        <v>4139000</v>
      </c>
      <c r="AD147" s="364" t="s">
        <v>560</v>
      </c>
      <c r="AE147" s="367" t="s">
        <v>339</v>
      </c>
      <c r="AF147" s="367"/>
      <c r="AG147" s="367">
        <v>461</v>
      </c>
    </row>
    <row r="148" spans="1:33" ht="12.75">
      <c r="A148" s="364">
        <v>106</v>
      </c>
      <c r="B148" s="364" t="s">
        <v>400</v>
      </c>
      <c r="C148" s="364"/>
      <c r="D148" s="364"/>
      <c r="E148" s="364"/>
      <c r="F148" s="372"/>
      <c r="G148" s="372"/>
      <c r="H148" s="372"/>
      <c r="I148" s="365"/>
      <c r="J148" s="364"/>
      <c r="K148" s="364"/>
      <c r="L148" s="367"/>
      <c r="M148" s="367"/>
      <c r="N148" s="373"/>
      <c r="O148" s="364"/>
      <c r="P148" s="364"/>
      <c r="Q148" s="364"/>
      <c r="R148" s="364"/>
      <c r="S148" s="369"/>
      <c r="T148" s="369"/>
      <c r="U148" s="369"/>
      <c r="V148" s="369"/>
      <c r="W148" s="369"/>
      <c r="X148" s="369"/>
      <c r="Y148" s="369"/>
      <c r="Z148" s="369"/>
      <c r="AA148" s="369"/>
      <c r="AB148" s="369"/>
      <c r="AC148" s="367">
        <v>3511000</v>
      </c>
      <c r="AD148" s="364" t="s">
        <v>561</v>
      </c>
      <c r="AE148" s="367" t="s">
        <v>339</v>
      </c>
      <c r="AF148" s="367"/>
      <c r="AG148" s="367">
        <v>461</v>
      </c>
    </row>
    <row r="149" spans="1:33" ht="12.75">
      <c r="A149" s="364">
        <v>107</v>
      </c>
      <c r="B149" s="364" t="s">
        <v>402</v>
      </c>
      <c r="C149" s="364"/>
      <c r="D149" s="364"/>
      <c r="E149" s="364"/>
      <c r="F149" s="372"/>
      <c r="G149" s="372"/>
      <c r="H149" s="372"/>
      <c r="I149" s="365"/>
      <c r="J149" s="364"/>
      <c r="K149" s="364"/>
      <c r="L149" s="367"/>
      <c r="M149" s="367"/>
      <c r="N149" s="373"/>
      <c r="O149" s="364"/>
      <c r="P149" s="364"/>
      <c r="Q149" s="364"/>
      <c r="R149" s="364"/>
      <c r="S149" s="369"/>
      <c r="T149" s="369"/>
      <c r="U149" s="369"/>
      <c r="V149" s="369"/>
      <c r="W149" s="369"/>
      <c r="X149" s="369"/>
      <c r="Y149" s="369"/>
      <c r="Z149" s="369"/>
      <c r="AA149" s="369"/>
      <c r="AB149" s="369"/>
      <c r="AC149" s="367">
        <v>3511000</v>
      </c>
      <c r="AD149" s="364" t="s">
        <v>561</v>
      </c>
      <c r="AE149" s="367" t="s">
        <v>339</v>
      </c>
      <c r="AF149" s="367"/>
      <c r="AG149" s="367">
        <v>461</v>
      </c>
    </row>
    <row r="150" spans="1:33" ht="12.75">
      <c r="A150" s="364">
        <v>108</v>
      </c>
      <c r="B150" s="364" t="s">
        <v>403</v>
      </c>
      <c r="C150" s="364"/>
      <c r="D150" s="364"/>
      <c r="E150" s="364"/>
      <c r="F150" s="372"/>
      <c r="G150" s="372"/>
      <c r="H150" s="372"/>
      <c r="I150" s="365"/>
      <c r="J150" s="364"/>
      <c r="K150" s="364"/>
      <c r="L150" s="367"/>
      <c r="M150" s="367"/>
      <c r="N150" s="373"/>
      <c r="O150" s="364"/>
      <c r="P150" s="364"/>
      <c r="Q150" s="364"/>
      <c r="R150" s="364"/>
      <c r="S150" s="369"/>
      <c r="T150" s="369"/>
      <c r="U150" s="369"/>
      <c r="V150" s="369"/>
      <c r="W150" s="369"/>
      <c r="X150" s="369"/>
      <c r="Y150" s="369"/>
      <c r="Z150" s="369"/>
      <c r="AA150" s="369"/>
      <c r="AB150" s="369"/>
      <c r="AC150" s="367">
        <v>3511000</v>
      </c>
      <c r="AD150" s="364" t="s">
        <v>562</v>
      </c>
      <c r="AE150" s="367" t="s">
        <v>339</v>
      </c>
      <c r="AF150" s="367"/>
      <c r="AG150" s="367">
        <v>461</v>
      </c>
    </row>
    <row r="151" spans="1:33" ht="12.75">
      <c r="A151" s="364">
        <v>109</v>
      </c>
      <c r="B151" s="364" t="s">
        <v>404</v>
      </c>
      <c r="C151" s="364"/>
      <c r="D151" s="364"/>
      <c r="E151" s="364"/>
      <c r="F151" s="372"/>
      <c r="G151" s="372"/>
      <c r="H151" s="372"/>
      <c r="I151" s="365"/>
      <c r="J151" s="364"/>
      <c r="K151" s="364"/>
      <c r="L151" s="367"/>
      <c r="M151" s="367"/>
      <c r="N151" s="373"/>
      <c r="O151" s="364"/>
      <c r="P151" s="364"/>
      <c r="Q151" s="364"/>
      <c r="R151" s="364"/>
      <c r="S151" s="369"/>
      <c r="T151" s="369"/>
      <c r="U151" s="369"/>
      <c r="V151" s="369"/>
      <c r="W151" s="369"/>
      <c r="X151" s="369"/>
      <c r="Y151" s="369"/>
      <c r="Z151" s="369"/>
      <c r="AA151" s="369"/>
      <c r="AB151" s="369"/>
      <c r="AC151" s="367">
        <v>3511000</v>
      </c>
      <c r="AD151" s="364" t="s">
        <v>561</v>
      </c>
      <c r="AE151" s="367" t="s">
        <v>339</v>
      </c>
      <c r="AF151" s="367"/>
      <c r="AG151" s="367">
        <v>461</v>
      </c>
    </row>
    <row r="152" spans="1:33" ht="12.75">
      <c r="A152" s="364">
        <v>110</v>
      </c>
      <c r="B152" s="364" t="s">
        <v>405</v>
      </c>
      <c r="C152" s="364"/>
      <c r="D152" s="364"/>
      <c r="E152" s="364"/>
      <c r="F152" s="372"/>
      <c r="G152" s="372"/>
      <c r="H152" s="372"/>
      <c r="I152" s="365"/>
      <c r="J152" s="364"/>
      <c r="K152" s="364"/>
      <c r="L152" s="367"/>
      <c r="M152" s="367"/>
      <c r="N152" s="373"/>
      <c r="O152" s="364"/>
      <c r="P152" s="364"/>
      <c r="Q152" s="364"/>
      <c r="R152" s="364"/>
      <c r="S152" s="369"/>
      <c r="T152" s="369"/>
      <c r="U152" s="369"/>
      <c r="V152" s="369"/>
      <c r="W152" s="369"/>
      <c r="X152" s="369"/>
      <c r="Y152" s="369"/>
      <c r="Z152" s="369"/>
      <c r="AA152" s="369"/>
      <c r="AB152" s="369"/>
      <c r="AC152" s="367">
        <v>3511000</v>
      </c>
      <c r="AD152" s="364" t="s">
        <v>561</v>
      </c>
      <c r="AE152" s="367" t="s">
        <v>339</v>
      </c>
      <c r="AF152" s="367"/>
      <c r="AG152" s="367">
        <v>461</v>
      </c>
    </row>
    <row r="153" spans="1:33" ht="12.75">
      <c r="A153" s="364">
        <v>111</v>
      </c>
      <c r="B153" s="364" t="s">
        <v>406</v>
      </c>
      <c r="C153" s="364"/>
      <c r="D153" s="364"/>
      <c r="E153" s="364"/>
      <c r="F153" s="372"/>
      <c r="G153" s="372"/>
      <c r="H153" s="372"/>
      <c r="I153" s="365"/>
      <c r="J153" s="364"/>
      <c r="K153" s="364"/>
      <c r="L153" s="367"/>
      <c r="M153" s="367"/>
      <c r="N153" s="373"/>
      <c r="O153" s="364"/>
      <c r="P153" s="364"/>
      <c r="Q153" s="364"/>
      <c r="R153" s="364"/>
      <c r="S153" s="369"/>
      <c r="T153" s="369"/>
      <c r="U153" s="369"/>
      <c r="V153" s="369"/>
      <c r="W153" s="369"/>
      <c r="X153" s="369"/>
      <c r="Y153" s="369"/>
      <c r="Z153" s="369"/>
      <c r="AA153" s="369"/>
      <c r="AB153" s="369"/>
      <c r="AC153" s="367">
        <v>3511000</v>
      </c>
      <c r="AD153" s="364" t="s">
        <v>561</v>
      </c>
      <c r="AE153" s="367" t="s">
        <v>339</v>
      </c>
      <c r="AF153" s="367"/>
      <c r="AG153" s="367">
        <v>461</v>
      </c>
    </row>
    <row r="154" spans="1:33" ht="12.75">
      <c r="A154" s="364">
        <v>112</v>
      </c>
      <c r="B154" s="364" t="s">
        <v>401</v>
      </c>
      <c r="C154" s="364"/>
      <c r="D154" s="364"/>
      <c r="E154" s="364"/>
      <c r="F154" s="372"/>
      <c r="G154" s="372"/>
      <c r="H154" s="372"/>
      <c r="I154" s="365"/>
      <c r="J154" s="364"/>
      <c r="K154" s="364"/>
      <c r="L154" s="367"/>
      <c r="M154" s="367"/>
      <c r="N154" s="373"/>
      <c r="O154" s="364"/>
      <c r="P154" s="364"/>
      <c r="Q154" s="364"/>
      <c r="R154" s="364"/>
      <c r="S154" s="369"/>
      <c r="T154" s="369"/>
      <c r="U154" s="369"/>
      <c r="V154" s="369"/>
      <c r="W154" s="369"/>
      <c r="X154" s="369"/>
      <c r="Y154" s="369"/>
      <c r="Z154" s="369"/>
      <c r="AA154" s="369"/>
      <c r="AB154" s="369"/>
      <c r="AC154" s="367">
        <v>3511000</v>
      </c>
      <c r="AD154" s="364" t="s">
        <v>561</v>
      </c>
      <c r="AE154" s="367" t="s">
        <v>339</v>
      </c>
      <c r="AF154" s="367"/>
      <c r="AG154" s="367">
        <v>461</v>
      </c>
    </row>
    <row r="155" spans="1:33" ht="12.75">
      <c r="A155" s="364">
        <v>113</v>
      </c>
      <c r="B155" s="364" t="s">
        <v>392</v>
      </c>
      <c r="C155" s="364"/>
      <c r="D155" s="364"/>
      <c r="E155" s="364"/>
      <c r="F155" s="372"/>
      <c r="G155" s="372"/>
      <c r="H155" s="372"/>
      <c r="I155" s="365"/>
      <c r="J155" s="364"/>
      <c r="K155" s="364"/>
      <c r="L155" s="367"/>
      <c r="M155" s="367"/>
      <c r="N155" s="373"/>
      <c r="O155" s="364"/>
      <c r="P155" s="364"/>
      <c r="Q155" s="364"/>
      <c r="R155" s="364"/>
      <c r="S155" s="369"/>
      <c r="T155" s="369"/>
      <c r="U155" s="369"/>
      <c r="V155" s="369"/>
      <c r="W155" s="369"/>
      <c r="X155" s="369"/>
      <c r="Y155" s="369"/>
      <c r="Z155" s="369"/>
      <c r="AA155" s="369"/>
      <c r="AB155" s="369"/>
      <c r="AC155" s="367">
        <v>4139000</v>
      </c>
      <c r="AD155" s="364" t="s">
        <v>563</v>
      </c>
      <c r="AE155" s="367" t="s">
        <v>353</v>
      </c>
      <c r="AF155" s="367"/>
      <c r="AG155" s="367">
        <v>581</v>
      </c>
    </row>
    <row r="156" spans="1:33" ht="12.75">
      <c r="A156" s="364">
        <v>114</v>
      </c>
      <c r="B156" s="364" t="s">
        <v>395</v>
      </c>
      <c r="C156" s="364"/>
      <c r="D156" s="364"/>
      <c r="E156" s="364"/>
      <c r="F156" s="372"/>
      <c r="G156" s="372"/>
      <c r="H156" s="372"/>
      <c r="I156" s="365"/>
      <c r="J156" s="364"/>
      <c r="K156" s="364"/>
      <c r="L156" s="367"/>
      <c r="M156" s="367"/>
      <c r="N156" s="373"/>
      <c r="O156" s="364"/>
      <c r="P156" s="364"/>
      <c r="Q156" s="364"/>
      <c r="R156" s="364"/>
      <c r="S156" s="369"/>
      <c r="T156" s="369"/>
      <c r="U156" s="369"/>
      <c r="V156" s="369"/>
      <c r="W156" s="369"/>
      <c r="X156" s="369"/>
      <c r="Y156" s="369"/>
      <c r="Z156" s="369"/>
      <c r="AA156" s="369"/>
      <c r="AB156" s="369"/>
      <c r="AC156" s="367">
        <v>4139000</v>
      </c>
      <c r="AD156" s="364" t="s">
        <v>564</v>
      </c>
      <c r="AE156" s="367" t="s">
        <v>353</v>
      </c>
      <c r="AF156" s="367"/>
      <c r="AG156" s="367">
        <v>581</v>
      </c>
    </row>
    <row r="157" spans="1:33" ht="12.75">
      <c r="A157" s="364">
        <v>115</v>
      </c>
      <c r="B157" s="364" t="s">
        <v>397</v>
      </c>
      <c r="C157" s="364"/>
      <c r="D157" s="364"/>
      <c r="E157" s="364"/>
      <c r="F157" s="372"/>
      <c r="G157" s="372"/>
      <c r="H157" s="372"/>
      <c r="I157" s="365"/>
      <c r="J157" s="364"/>
      <c r="K157" s="364"/>
      <c r="L157" s="367"/>
      <c r="M157" s="367"/>
      <c r="N157" s="373"/>
      <c r="O157" s="364"/>
      <c r="P157" s="364"/>
      <c r="Q157" s="364"/>
      <c r="R157" s="364"/>
      <c r="S157" s="369"/>
      <c r="T157" s="369"/>
      <c r="U157" s="369"/>
      <c r="V157" s="369"/>
      <c r="W157" s="369"/>
      <c r="X157" s="369"/>
      <c r="Y157" s="369"/>
      <c r="Z157" s="369"/>
      <c r="AA157" s="369"/>
      <c r="AB157" s="369"/>
      <c r="AC157" s="367">
        <v>4139000</v>
      </c>
      <c r="AD157" s="364" t="s">
        <v>565</v>
      </c>
      <c r="AE157" s="367" t="s">
        <v>353</v>
      </c>
      <c r="AF157" s="367"/>
      <c r="AG157" s="367">
        <v>581</v>
      </c>
    </row>
    <row r="158" spans="1:33" ht="12.75">
      <c r="A158" s="364">
        <v>116</v>
      </c>
      <c r="B158" s="364" t="s">
        <v>398</v>
      </c>
      <c r="C158" s="364"/>
      <c r="D158" s="364"/>
      <c r="E158" s="364"/>
      <c r="F158" s="372"/>
      <c r="G158" s="372"/>
      <c r="H158" s="372"/>
      <c r="I158" s="365"/>
      <c r="J158" s="364"/>
      <c r="K158" s="364"/>
      <c r="L158" s="367"/>
      <c r="M158" s="367"/>
      <c r="N158" s="373"/>
      <c r="O158" s="364"/>
      <c r="P158" s="364"/>
      <c r="Q158" s="364"/>
      <c r="R158" s="364"/>
      <c r="S158" s="369"/>
      <c r="T158" s="369"/>
      <c r="U158" s="369"/>
      <c r="V158" s="369"/>
      <c r="W158" s="369"/>
      <c r="X158" s="369"/>
      <c r="Y158" s="369"/>
      <c r="Z158" s="369"/>
      <c r="AA158" s="369"/>
      <c r="AB158" s="369"/>
      <c r="AC158" s="367">
        <v>4139000</v>
      </c>
      <c r="AD158" s="364" t="s">
        <v>565</v>
      </c>
      <c r="AE158" s="367" t="s">
        <v>353</v>
      </c>
      <c r="AF158" s="367"/>
      <c r="AG158" s="367">
        <v>581</v>
      </c>
    </row>
    <row r="159" spans="1:33" ht="12.75">
      <c r="A159" s="89"/>
      <c r="B159" s="89"/>
      <c r="C159" s="89"/>
      <c r="D159" s="89"/>
      <c r="E159" s="89"/>
      <c r="F159" s="323"/>
      <c r="G159" s="323"/>
      <c r="H159" s="323"/>
      <c r="I159" s="172"/>
      <c r="J159" s="89"/>
      <c r="K159" s="89"/>
      <c r="L159" s="234"/>
      <c r="M159" s="234"/>
      <c r="N159" s="395"/>
      <c r="O159" s="89"/>
      <c r="P159" s="89"/>
      <c r="Q159" s="89"/>
      <c r="R159" s="89"/>
      <c r="S159" s="157"/>
      <c r="T159" s="157"/>
      <c r="U159" s="157"/>
      <c r="V159" s="157"/>
      <c r="W159" s="157"/>
      <c r="X159" s="157"/>
      <c r="Y159" s="157"/>
      <c r="Z159" s="157"/>
      <c r="AA159" s="157"/>
      <c r="AB159" s="157"/>
      <c r="AC159" s="234"/>
      <c r="AD159" s="89"/>
      <c r="AE159" s="234"/>
      <c r="AF159" s="234"/>
      <c r="AG159" s="234"/>
    </row>
    <row r="160" spans="2:3" ht="15">
      <c r="B160" s="351" t="s">
        <v>380</v>
      </c>
      <c r="C160" s="351"/>
    </row>
    <row r="161" spans="1:33" ht="12.75">
      <c r="A161" s="281">
        <v>117</v>
      </c>
      <c r="B161" s="368" t="s">
        <v>479</v>
      </c>
      <c r="C161" s="368"/>
      <c r="D161" s="281" t="s">
        <v>145</v>
      </c>
      <c r="E161" s="368" t="s">
        <v>338</v>
      </c>
      <c r="F161" s="365" t="s">
        <v>339</v>
      </c>
      <c r="G161" s="365" t="s">
        <v>340</v>
      </c>
      <c r="H161" s="365">
        <v>1</v>
      </c>
      <c r="I161" s="374" t="s">
        <v>30</v>
      </c>
      <c r="J161" s="368"/>
      <c r="K161" s="281">
        <v>4023000</v>
      </c>
      <c r="L161" s="365">
        <f>K161*1.0829</f>
        <v>4356506.7</v>
      </c>
      <c r="M161" s="365">
        <f>CEILING(L161*1.03,1000)</f>
        <v>4488000</v>
      </c>
      <c r="N161" s="365">
        <v>4993000</v>
      </c>
      <c r="O161" s="365">
        <v>8200000</v>
      </c>
      <c r="P161" s="365">
        <f>CEILING(N161*1.12,1000)</f>
        <v>5593000</v>
      </c>
      <c r="Q161" s="367">
        <f>O161-P161</f>
        <v>2607000</v>
      </c>
      <c r="R161" s="281">
        <f>Q161*0.38</f>
        <v>990660</v>
      </c>
      <c r="S161" s="281">
        <f>P161+R161</f>
        <v>6583660</v>
      </c>
      <c r="T161" s="281">
        <v>8200000</v>
      </c>
      <c r="U161" s="367">
        <f>CEILING(T161*1.06,1000)</f>
        <v>8692000</v>
      </c>
      <c r="V161" s="367" t="s">
        <v>267</v>
      </c>
      <c r="W161" s="367" t="s">
        <v>297</v>
      </c>
      <c r="X161" s="367">
        <v>13158000</v>
      </c>
      <c r="Y161" s="367">
        <v>11057000</v>
      </c>
      <c r="Z161" s="367">
        <f>X161-Y161</f>
        <v>2101000</v>
      </c>
      <c r="AA161" s="367">
        <f>Z161*45%</f>
        <v>945450</v>
      </c>
      <c r="AB161" s="367">
        <f>SUM(Y161,AA161)</f>
        <v>12002450</v>
      </c>
      <c r="AC161" s="367">
        <f>ROUNDUP(AB161,-3)</f>
        <v>12003000</v>
      </c>
      <c r="AD161" s="367"/>
      <c r="AE161" s="367"/>
      <c r="AF161" s="367"/>
      <c r="AG161" s="367">
        <v>1569</v>
      </c>
    </row>
    <row r="162" spans="1:33" ht="12.75">
      <c r="A162"/>
      <c r="B162" s="352" t="s">
        <v>143</v>
      </c>
      <c r="C162" s="63"/>
      <c r="D162"/>
      <c r="E162" s="23"/>
      <c r="F162" s="22"/>
      <c r="G162" s="22"/>
      <c r="H162" s="22"/>
      <c r="I162" s="22"/>
      <c r="J162"/>
      <c r="K162"/>
      <c r="L162"/>
      <c r="M162" s="63"/>
      <c r="N162" s="63"/>
      <c r="O162" s="63"/>
      <c r="P162" s="63"/>
      <c r="Q162" s="63"/>
      <c r="R162" s="63"/>
      <c r="S162" s="63"/>
      <c r="T162" s="63"/>
      <c r="U162" s="63"/>
      <c r="V162" s="63"/>
      <c r="W162" s="63"/>
      <c r="X162" s="63"/>
      <c r="Y162" s="63"/>
      <c r="Z162" s="63"/>
      <c r="AA162" s="63"/>
      <c r="AB162" s="63"/>
      <c r="AC162" s="63"/>
      <c r="AD162" s="81"/>
      <c r="AE162" s="81"/>
      <c r="AF162" s="81"/>
      <c r="AG162" s="81"/>
    </row>
    <row r="163" spans="1:33" ht="12.75">
      <c r="A163" s="281">
        <v>118</v>
      </c>
      <c r="B163" s="281" t="s">
        <v>92</v>
      </c>
      <c r="C163" s="281"/>
      <c r="D163" s="281" t="s">
        <v>33</v>
      </c>
      <c r="E163" s="368" t="s">
        <v>338</v>
      </c>
      <c r="F163" s="365" t="s">
        <v>339</v>
      </c>
      <c r="G163" s="365" t="s">
        <v>340</v>
      </c>
      <c r="H163" s="365">
        <v>1</v>
      </c>
      <c r="I163" s="374" t="s">
        <v>30</v>
      </c>
      <c r="J163" s="281"/>
      <c r="K163" s="281">
        <v>4023000</v>
      </c>
      <c r="L163" s="365">
        <f aca="true" t="shared" si="12" ref="L163:L170">K163*1.0829</f>
        <v>4356506.7</v>
      </c>
      <c r="M163" s="365">
        <f aca="true" t="shared" si="13" ref="M163:M170">CEILING(L163*1.03,1000)</f>
        <v>4488000</v>
      </c>
      <c r="N163" s="365">
        <v>4993000</v>
      </c>
      <c r="O163" s="365">
        <v>8200000</v>
      </c>
      <c r="P163" s="365">
        <f aca="true" t="shared" si="14" ref="P163:P170">CEILING(N163*1.12,1000)</f>
        <v>5593000</v>
      </c>
      <c r="Q163" s="367">
        <f aca="true" t="shared" si="15" ref="Q163:Q170">O163-P163</f>
        <v>2607000</v>
      </c>
      <c r="R163" s="281">
        <f aca="true" t="shared" si="16" ref="R163:R170">Q163*0.38</f>
        <v>990660</v>
      </c>
      <c r="S163" s="281">
        <f aca="true" t="shared" si="17" ref="S163:S170">P163+R163</f>
        <v>6583660</v>
      </c>
      <c r="T163" s="281">
        <v>8200000</v>
      </c>
      <c r="U163" s="367">
        <f aca="true" t="shared" si="18" ref="U163:U170">CEILING(T163*1.06,1000)</f>
        <v>8692000</v>
      </c>
      <c r="V163" s="367" t="s">
        <v>267</v>
      </c>
      <c r="W163" s="367" t="s">
        <v>297</v>
      </c>
      <c r="X163" s="367">
        <v>13158000</v>
      </c>
      <c r="Y163" s="367">
        <v>11057000</v>
      </c>
      <c r="Z163" s="367">
        <f aca="true" t="shared" si="19" ref="Z163:Z175">X163-Y163</f>
        <v>2101000</v>
      </c>
      <c r="AA163" s="367">
        <f aca="true" t="shared" si="20" ref="AA163:AA175">Z163*45%</f>
        <v>945450</v>
      </c>
      <c r="AB163" s="367">
        <f aca="true" t="shared" si="21" ref="AB163:AB171">SUM(Y163,AA163)</f>
        <v>12002450</v>
      </c>
      <c r="AC163" s="367">
        <f aca="true" t="shared" si="22" ref="AC163:AC170">ROUNDUP(AB163,-3)</f>
        <v>12003000</v>
      </c>
      <c r="AD163" s="367"/>
      <c r="AE163" s="367"/>
      <c r="AF163" s="367"/>
      <c r="AG163" s="367">
        <v>1569</v>
      </c>
    </row>
    <row r="164" spans="1:33" ht="12.75">
      <c r="A164" s="281">
        <v>119</v>
      </c>
      <c r="B164" s="281" t="s">
        <v>161</v>
      </c>
      <c r="C164" s="281"/>
      <c r="D164" s="281"/>
      <c r="E164" s="368" t="s">
        <v>338</v>
      </c>
      <c r="F164" s="365" t="s">
        <v>339</v>
      </c>
      <c r="G164" s="365" t="s">
        <v>340</v>
      </c>
      <c r="H164" s="365">
        <v>1</v>
      </c>
      <c r="I164" s="374" t="s">
        <v>30</v>
      </c>
      <c r="J164" s="281"/>
      <c r="K164" s="281">
        <v>4023000</v>
      </c>
      <c r="L164" s="365">
        <f>K164*1.0829</f>
        <v>4356506.7</v>
      </c>
      <c r="M164" s="365">
        <f>CEILING(L164*1.03,1000)</f>
        <v>4488000</v>
      </c>
      <c r="N164" s="365">
        <v>4724000</v>
      </c>
      <c r="O164" s="365">
        <v>8200000</v>
      </c>
      <c r="P164" s="365">
        <f>CEILING(N164*1.12,1000)</f>
        <v>5291000</v>
      </c>
      <c r="Q164" s="367">
        <f>O164-P164</f>
        <v>2909000</v>
      </c>
      <c r="R164" s="281">
        <f>Q164*0.38</f>
        <v>1105420</v>
      </c>
      <c r="S164" s="281">
        <f>P164+R164</f>
        <v>6396420</v>
      </c>
      <c r="T164" s="281">
        <v>8200000</v>
      </c>
      <c r="U164" s="367">
        <f>CEILING(T164*1.06,1000)</f>
        <v>8692000</v>
      </c>
      <c r="V164" s="367" t="s">
        <v>267</v>
      </c>
      <c r="W164" s="367" t="s">
        <v>297</v>
      </c>
      <c r="X164" s="367">
        <v>13158000</v>
      </c>
      <c r="Y164" s="367">
        <v>11057000</v>
      </c>
      <c r="Z164" s="367">
        <f>X164-Y164</f>
        <v>2101000</v>
      </c>
      <c r="AA164" s="367">
        <f>Z164*45%</f>
        <v>945450</v>
      </c>
      <c r="AB164" s="367">
        <f t="shared" si="21"/>
        <v>12002450</v>
      </c>
      <c r="AC164" s="367">
        <f>ROUNDUP(AB164,-3)</f>
        <v>12003000</v>
      </c>
      <c r="AD164" s="367"/>
      <c r="AE164" s="367"/>
      <c r="AF164" s="367"/>
      <c r="AG164" s="367">
        <v>1569</v>
      </c>
    </row>
    <row r="165" spans="1:33" ht="12.75">
      <c r="A165" s="281">
        <v>120</v>
      </c>
      <c r="B165" s="364" t="s">
        <v>382</v>
      </c>
      <c r="C165" s="364"/>
      <c r="D165" s="365"/>
      <c r="E165" s="368" t="s">
        <v>338</v>
      </c>
      <c r="F165" s="365" t="s">
        <v>339</v>
      </c>
      <c r="G165" s="365" t="s">
        <v>340</v>
      </c>
      <c r="H165" s="365">
        <v>1</v>
      </c>
      <c r="I165" s="365" t="s">
        <v>30</v>
      </c>
      <c r="J165" s="364"/>
      <c r="K165" s="367">
        <v>4023000</v>
      </c>
      <c r="L165" s="365">
        <f>K165*1.0829</f>
        <v>4356506.7</v>
      </c>
      <c r="M165" s="365">
        <f>CEILING(L165*1.03,1000)</f>
        <v>4488000</v>
      </c>
      <c r="N165" s="365">
        <v>4993000</v>
      </c>
      <c r="O165" s="365">
        <v>8200000</v>
      </c>
      <c r="P165" s="367">
        <f>CEILING(N165*1.12,1000)</f>
        <v>5593000</v>
      </c>
      <c r="Q165" s="367">
        <f>O165-P165</f>
        <v>2607000</v>
      </c>
      <c r="R165" s="364">
        <f>Q165*0.38</f>
        <v>990660</v>
      </c>
      <c r="S165" s="364">
        <f>P165+R165</f>
        <v>6583660</v>
      </c>
      <c r="T165" s="364">
        <v>8200000</v>
      </c>
      <c r="U165" s="367">
        <f t="shared" si="18"/>
        <v>8692000</v>
      </c>
      <c r="V165" s="367" t="s">
        <v>267</v>
      </c>
      <c r="W165" s="367" t="s">
        <v>297</v>
      </c>
      <c r="X165" s="367">
        <v>13158000</v>
      </c>
      <c r="Y165" s="367">
        <v>11057000</v>
      </c>
      <c r="Z165" s="367">
        <f>X165-Y165</f>
        <v>2101000</v>
      </c>
      <c r="AA165" s="367">
        <f>Z165*45%</f>
        <v>945450</v>
      </c>
      <c r="AB165" s="367">
        <f t="shared" si="21"/>
        <v>12002450</v>
      </c>
      <c r="AC165" s="367">
        <f t="shared" si="22"/>
        <v>12003000</v>
      </c>
      <c r="AD165" s="367"/>
      <c r="AE165" s="367"/>
      <c r="AF165" s="367"/>
      <c r="AG165" s="367">
        <v>1569</v>
      </c>
    </row>
    <row r="166" spans="1:33" ht="12.75">
      <c r="A166" s="281">
        <v>121</v>
      </c>
      <c r="B166" s="281" t="s">
        <v>217</v>
      </c>
      <c r="C166" s="281"/>
      <c r="D166" s="281"/>
      <c r="E166" s="368" t="s">
        <v>338</v>
      </c>
      <c r="F166" s="365" t="s">
        <v>339</v>
      </c>
      <c r="G166" s="365" t="s">
        <v>344</v>
      </c>
      <c r="H166" s="365">
        <v>3</v>
      </c>
      <c r="I166" s="374" t="s">
        <v>30</v>
      </c>
      <c r="J166" s="281"/>
      <c r="K166" s="281">
        <v>2624000</v>
      </c>
      <c r="L166" s="365">
        <f>K166*1.0829</f>
        <v>2841529.6</v>
      </c>
      <c r="M166" s="365">
        <f>CEILING(L166*1.03,1000)</f>
        <v>2927000</v>
      </c>
      <c r="N166" s="365">
        <v>3257000</v>
      </c>
      <c r="O166" s="365">
        <v>4532000</v>
      </c>
      <c r="P166" s="365">
        <f>CEILING(N166*1.12,1000)</f>
        <v>3648000</v>
      </c>
      <c r="Q166" s="367">
        <f>O166-P166</f>
        <v>884000</v>
      </c>
      <c r="R166" s="281">
        <f>Q166*0.38</f>
        <v>335920</v>
      </c>
      <c r="S166" s="281">
        <f>P166+R166</f>
        <v>3983920</v>
      </c>
      <c r="T166" s="281">
        <v>4532000</v>
      </c>
      <c r="U166" s="367">
        <f>CEILING(T166*1.06,1000)</f>
        <v>4804000</v>
      </c>
      <c r="V166" s="367" t="s">
        <v>255</v>
      </c>
      <c r="W166" s="367" t="s">
        <v>293</v>
      </c>
      <c r="X166" s="367">
        <v>7201000</v>
      </c>
      <c r="Y166" s="367">
        <v>6316000</v>
      </c>
      <c r="Z166" s="367">
        <f>X166-Y166</f>
        <v>885000</v>
      </c>
      <c r="AA166" s="367">
        <f>Z166*45%</f>
        <v>398250</v>
      </c>
      <c r="AB166" s="367">
        <f t="shared" si="21"/>
        <v>6714250</v>
      </c>
      <c r="AC166" s="367">
        <f>ROUNDUP(AB166,-3)</f>
        <v>6715000</v>
      </c>
      <c r="AD166" s="367"/>
      <c r="AE166" s="367"/>
      <c r="AF166" s="367"/>
      <c r="AG166" s="367">
        <v>742</v>
      </c>
    </row>
    <row r="167" spans="1:33" ht="12.75">
      <c r="A167" s="281">
        <v>122</v>
      </c>
      <c r="B167" s="281" t="s">
        <v>93</v>
      </c>
      <c r="C167" s="281"/>
      <c r="D167" s="281"/>
      <c r="E167" s="368" t="s">
        <v>346</v>
      </c>
      <c r="F167" s="365" t="s">
        <v>345</v>
      </c>
      <c r="G167" s="365" t="s">
        <v>340</v>
      </c>
      <c r="H167" s="365">
        <v>1</v>
      </c>
      <c r="I167" s="374" t="s">
        <v>553</v>
      </c>
      <c r="J167" s="281"/>
      <c r="K167" s="281">
        <v>2624000</v>
      </c>
      <c r="L167" s="365">
        <f>K167*1.0829</f>
        <v>2841529.6</v>
      </c>
      <c r="M167" s="365">
        <f>CEILING(L167*1.03,1000)</f>
        <v>2927000</v>
      </c>
      <c r="N167" s="365">
        <v>3257000</v>
      </c>
      <c r="O167" s="365">
        <v>4532000</v>
      </c>
      <c r="P167" s="365">
        <f>CEILING(N167*1.12,1000)</f>
        <v>3648000</v>
      </c>
      <c r="Q167" s="367">
        <f>O167-P167</f>
        <v>884000</v>
      </c>
      <c r="R167" s="281">
        <f>Q167*0.38</f>
        <v>335920</v>
      </c>
      <c r="S167" s="281">
        <f>P167+R167</f>
        <v>3983920</v>
      </c>
      <c r="T167" s="281">
        <v>4532000</v>
      </c>
      <c r="U167" s="367">
        <f>CEILING(T167*1.06,1000)</f>
        <v>4804000</v>
      </c>
      <c r="V167" s="367" t="s">
        <v>255</v>
      </c>
      <c r="W167" s="367" t="s">
        <v>293</v>
      </c>
      <c r="X167" s="367">
        <v>7201000</v>
      </c>
      <c r="Y167" s="367">
        <v>6316000</v>
      </c>
      <c r="Z167" s="367">
        <f>X167-Y167</f>
        <v>885000</v>
      </c>
      <c r="AA167" s="367">
        <f>Z167*45%</f>
        <v>398250</v>
      </c>
      <c r="AB167" s="367">
        <f t="shared" si="21"/>
        <v>6714250</v>
      </c>
      <c r="AC167" s="367">
        <f>ROUNDUP(AB167,-3)</f>
        <v>6715000</v>
      </c>
      <c r="AD167" s="367"/>
      <c r="AE167" s="367"/>
      <c r="AF167" s="367"/>
      <c r="AG167" s="367">
        <v>861</v>
      </c>
    </row>
    <row r="168" spans="1:33" ht="12.75">
      <c r="A168" s="281">
        <v>123</v>
      </c>
      <c r="B168" s="281" t="s">
        <v>217</v>
      </c>
      <c r="C168" s="281"/>
      <c r="D168" s="281"/>
      <c r="E168" s="368" t="s">
        <v>346</v>
      </c>
      <c r="F168" s="365" t="s">
        <v>345</v>
      </c>
      <c r="G168" s="365" t="s">
        <v>340</v>
      </c>
      <c r="H168" s="365">
        <v>3</v>
      </c>
      <c r="I168" s="374" t="s">
        <v>553</v>
      </c>
      <c r="J168" s="281"/>
      <c r="K168" s="281">
        <v>2624000</v>
      </c>
      <c r="L168" s="365">
        <f t="shared" si="12"/>
        <v>2841529.6</v>
      </c>
      <c r="M168" s="365">
        <f t="shared" si="13"/>
        <v>2927000</v>
      </c>
      <c r="N168" s="365">
        <v>3257000</v>
      </c>
      <c r="O168" s="365">
        <v>4532000</v>
      </c>
      <c r="P168" s="365">
        <f t="shared" si="14"/>
        <v>3648000</v>
      </c>
      <c r="Q168" s="367">
        <f t="shared" si="15"/>
        <v>884000</v>
      </c>
      <c r="R168" s="281">
        <f t="shared" si="16"/>
        <v>335920</v>
      </c>
      <c r="S168" s="281">
        <f t="shared" si="17"/>
        <v>3983920</v>
      </c>
      <c r="T168" s="281">
        <v>4532000</v>
      </c>
      <c r="U168" s="367">
        <f t="shared" si="18"/>
        <v>4804000</v>
      </c>
      <c r="V168" s="367" t="s">
        <v>255</v>
      </c>
      <c r="W168" s="367" t="s">
        <v>293</v>
      </c>
      <c r="X168" s="367">
        <v>7201000</v>
      </c>
      <c r="Y168" s="367">
        <v>6316000</v>
      </c>
      <c r="Z168" s="367">
        <f t="shared" si="19"/>
        <v>885000</v>
      </c>
      <c r="AA168" s="367">
        <f t="shared" si="20"/>
        <v>398250</v>
      </c>
      <c r="AB168" s="367">
        <f t="shared" si="21"/>
        <v>6714250</v>
      </c>
      <c r="AC168" s="367">
        <f t="shared" si="22"/>
        <v>6715000</v>
      </c>
      <c r="AD168" s="367"/>
      <c r="AE168" s="367"/>
      <c r="AF168" s="367"/>
      <c r="AG168" s="367">
        <v>724</v>
      </c>
    </row>
    <row r="169" spans="1:33" ht="12.75">
      <c r="A169" s="281">
        <v>124</v>
      </c>
      <c r="B169" s="281" t="s">
        <v>96</v>
      </c>
      <c r="C169" s="281"/>
      <c r="D169" s="281"/>
      <c r="E169" s="368" t="s">
        <v>346</v>
      </c>
      <c r="F169" s="365" t="s">
        <v>345</v>
      </c>
      <c r="G169" s="365" t="s">
        <v>340</v>
      </c>
      <c r="H169" s="365">
        <v>1</v>
      </c>
      <c r="I169" s="374" t="s">
        <v>553</v>
      </c>
      <c r="J169" s="281"/>
      <c r="K169" s="281">
        <v>2624000</v>
      </c>
      <c r="L169" s="365">
        <f t="shared" si="12"/>
        <v>2841529.6</v>
      </c>
      <c r="M169" s="365">
        <f t="shared" si="13"/>
        <v>2927000</v>
      </c>
      <c r="N169" s="365">
        <v>3257000</v>
      </c>
      <c r="O169" s="365">
        <v>4532000</v>
      </c>
      <c r="P169" s="365">
        <f t="shared" si="14"/>
        <v>3648000</v>
      </c>
      <c r="Q169" s="367">
        <f t="shared" si="15"/>
        <v>884000</v>
      </c>
      <c r="R169" s="281">
        <f t="shared" si="16"/>
        <v>335920</v>
      </c>
      <c r="S169" s="281">
        <f t="shared" si="17"/>
        <v>3983920</v>
      </c>
      <c r="T169" s="281">
        <v>4532000</v>
      </c>
      <c r="U169" s="367">
        <f t="shared" si="18"/>
        <v>4804000</v>
      </c>
      <c r="V169" s="367" t="s">
        <v>255</v>
      </c>
      <c r="W169" s="367" t="s">
        <v>293</v>
      </c>
      <c r="X169" s="367">
        <v>7201000</v>
      </c>
      <c r="Y169" s="367">
        <v>6316000</v>
      </c>
      <c r="Z169" s="367">
        <f t="shared" si="19"/>
        <v>885000</v>
      </c>
      <c r="AA169" s="367">
        <f t="shared" si="20"/>
        <v>398250</v>
      </c>
      <c r="AB169" s="367">
        <f t="shared" si="21"/>
        <v>6714250</v>
      </c>
      <c r="AC169" s="367">
        <f t="shared" si="22"/>
        <v>6715000</v>
      </c>
      <c r="AD169" s="367"/>
      <c r="AE169" s="367"/>
      <c r="AF169" s="367"/>
      <c r="AG169" s="367">
        <v>861</v>
      </c>
    </row>
    <row r="170" spans="1:33" ht="12.75">
      <c r="A170" s="281">
        <v>125</v>
      </c>
      <c r="B170" s="281" t="s">
        <v>94</v>
      </c>
      <c r="C170" s="281"/>
      <c r="D170" s="281"/>
      <c r="E170" s="368" t="s">
        <v>346</v>
      </c>
      <c r="F170" s="365" t="s">
        <v>345</v>
      </c>
      <c r="G170" s="365" t="s">
        <v>340</v>
      </c>
      <c r="H170" s="365">
        <v>1</v>
      </c>
      <c r="I170" s="374" t="s">
        <v>553</v>
      </c>
      <c r="J170" s="281"/>
      <c r="K170" s="281">
        <v>2624000</v>
      </c>
      <c r="L170" s="365">
        <f t="shared" si="12"/>
        <v>2841529.6</v>
      </c>
      <c r="M170" s="365">
        <f t="shared" si="13"/>
        <v>2927000</v>
      </c>
      <c r="N170" s="365">
        <v>3257000</v>
      </c>
      <c r="O170" s="365">
        <v>4532000</v>
      </c>
      <c r="P170" s="365">
        <f t="shared" si="14"/>
        <v>3648000</v>
      </c>
      <c r="Q170" s="367">
        <f t="shared" si="15"/>
        <v>884000</v>
      </c>
      <c r="R170" s="281">
        <f t="shared" si="16"/>
        <v>335920</v>
      </c>
      <c r="S170" s="281">
        <f t="shared" si="17"/>
        <v>3983920</v>
      </c>
      <c r="T170" s="281">
        <v>4532000</v>
      </c>
      <c r="U170" s="367">
        <f t="shared" si="18"/>
        <v>4804000</v>
      </c>
      <c r="V170" s="367" t="s">
        <v>258</v>
      </c>
      <c r="W170" s="367" t="s">
        <v>293</v>
      </c>
      <c r="X170" s="367">
        <v>7201000</v>
      </c>
      <c r="Y170" s="367">
        <v>6316000</v>
      </c>
      <c r="Z170" s="367">
        <f t="shared" si="19"/>
        <v>885000</v>
      </c>
      <c r="AA170" s="367">
        <f t="shared" si="20"/>
        <v>398250</v>
      </c>
      <c r="AB170" s="367">
        <f t="shared" si="21"/>
        <v>6714250</v>
      </c>
      <c r="AC170" s="367">
        <f t="shared" si="22"/>
        <v>6715000</v>
      </c>
      <c r="AD170" s="367"/>
      <c r="AE170" s="367"/>
      <c r="AF170" s="367"/>
      <c r="AG170" s="367">
        <v>861</v>
      </c>
    </row>
    <row r="171" spans="1:33" ht="12.75">
      <c r="A171" s="281">
        <v>126</v>
      </c>
      <c r="B171" s="281" t="s">
        <v>217</v>
      </c>
      <c r="C171" s="281"/>
      <c r="D171" s="281"/>
      <c r="E171" s="368" t="s">
        <v>338</v>
      </c>
      <c r="F171" s="365" t="s">
        <v>339</v>
      </c>
      <c r="G171" s="365" t="s">
        <v>355</v>
      </c>
      <c r="H171" s="365"/>
      <c r="I171" s="374" t="s">
        <v>30</v>
      </c>
      <c r="J171" s="281"/>
      <c r="K171" s="281">
        <v>4023000</v>
      </c>
      <c r="L171" s="365">
        <f>K171*1.0829</f>
        <v>4356506.7</v>
      </c>
      <c r="M171" s="365">
        <f>CEILING(L171*1.03,1000)</f>
        <v>4488000</v>
      </c>
      <c r="N171" s="365">
        <v>4993000</v>
      </c>
      <c r="O171" s="365">
        <v>8200000</v>
      </c>
      <c r="P171" s="365">
        <f>CEILING(N171*1.12,1000)</f>
        <v>5593000</v>
      </c>
      <c r="Q171" s="367">
        <f>O171-P171</f>
        <v>2607000</v>
      </c>
      <c r="R171" s="281">
        <f>Q171*0.38</f>
        <v>990660</v>
      </c>
      <c r="S171" s="281">
        <f>P171+R171</f>
        <v>6583660</v>
      </c>
      <c r="T171" s="281">
        <v>8200000</v>
      </c>
      <c r="U171" s="367">
        <f>CEILING(T171*1.06,1000)</f>
        <v>8692000</v>
      </c>
      <c r="V171" s="367" t="s">
        <v>267</v>
      </c>
      <c r="W171" s="367" t="s">
        <v>297</v>
      </c>
      <c r="X171" s="367">
        <v>13158000</v>
      </c>
      <c r="Y171" s="367">
        <v>11057000</v>
      </c>
      <c r="Z171" s="367">
        <f>X171-Y171</f>
        <v>2101000</v>
      </c>
      <c r="AA171" s="367">
        <f>Z171*45%</f>
        <v>945450</v>
      </c>
      <c r="AB171" s="367">
        <f t="shared" si="21"/>
        <v>12002450</v>
      </c>
      <c r="AC171" s="367">
        <f>ROUNDUP(AB171,-3)</f>
        <v>12003000</v>
      </c>
      <c r="AD171" s="376"/>
      <c r="AE171" s="376"/>
      <c r="AF171" s="376"/>
      <c r="AG171" s="376">
        <v>571</v>
      </c>
    </row>
    <row r="172" spans="1:33" ht="12.75">
      <c r="A172"/>
      <c r="B172" s="352" t="s">
        <v>381</v>
      </c>
      <c r="C172"/>
      <c r="D172"/>
      <c r="E172" s="23"/>
      <c r="F172" s="22"/>
      <c r="G172" s="22"/>
      <c r="H172" s="22"/>
      <c r="I172" s="22"/>
      <c r="J172"/>
      <c r="K172"/>
      <c r="L172"/>
      <c r="M172" s="63"/>
      <c r="N172" s="63"/>
      <c r="O172" s="63"/>
      <c r="P172" s="63"/>
      <c r="Q172" s="63"/>
      <c r="R172" s="63"/>
      <c r="S172" s="63"/>
      <c r="T172" s="63"/>
      <c r="U172" s="63"/>
      <c r="V172" s="63"/>
      <c r="W172" s="63"/>
      <c r="X172" s="63"/>
      <c r="Y172" s="63"/>
      <c r="Z172" s="81">
        <f t="shared" si="19"/>
        <v>0</v>
      </c>
      <c r="AA172" s="81">
        <f t="shared" si="20"/>
        <v>0</v>
      </c>
      <c r="AB172" s="81"/>
      <c r="AC172" s="81"/>
      <c r="AD172" s="81"/>
      <c r="AE172" s="81"/>
      <c r="AF172" s="81"/>
      <c r="AG172" s="81"/>
    </row>
    <row r="173" spans="1:33" ht="12.75">
      <c r="A173" s="281">
        <v>127</v>
      </c>
      <c r="B173" s="364" t="s">
        <v>124</v>
      </c>
      <c r="C173" s="364"/>
      <c r="D173" s="377"/>
      <c r="E173" s="368" t="s">
        <v>338</v>
      </c>
      <c r="F173" s="365" t="s">
        <v>339</v>
      </c>
      <c r="G173" s="365" t="s">
        <v>340</v>
      </c>
      <c r="H173" s="365">
        <v>1</v>
      </c>
      <c r="I173" s="379" t="s">
        <v>30</v>
      </c>
      <c r="J173" s="364"/>
      <c r="K173" s="378">
        <v>3625000</v>
      </c>
      <c r="L173" s="379">
        <f>K173*1.0829</f>
        <v>3925512.5</v>
      </c>
      <c r="M173" s="379">
        <f>CEILING(L173*1.03,1000)</f>
        <v>4044000</v>
      </c>
      <c r="N173" s="379">
        <v>4385000</v>
      </c>
      <c r="O173" s="379">
        <v>4385000</v>
      </c>
      <c r="P173" s="378">
        <v>4385000</v>
      </c>
      <c r="Q173" s="367">
        <f>O173-P173</f>
        <v>0</v>
      </c>
      <c r="R173" s="281">
        <f>Q173*0.38</f>
        <v>0</v>
      </c>
      <c r="S173" s="281">
        <f>P173+R173</f>
        <v>4385000</v>
      </c>
      <c r="T173" s="281">
        <v>8200000</v>
      </c>
      <c r="U173" s="367">
        <f>CEILING(T173*1.06,1000)</f>
        <v>8692000</v>
      </c>
      <c r="V173" s="367" t="s">
        <v>267</v>
      </c>
      <c r="W173" s="367" t="s">
        <v>297</v>
      </c>
      <c r="X173" s="367">
        <v>13158000</v>
      </c>
      <c r="Y173" s="367">
        <v>11057000</v>
      </c>
      <c r="Z173" s="367">
        <f>X173-Y173</f>
        <v>2101000</v>
      </c>
      <c r="AA173" s="367">
        <f>Z173*45%</f>
        <v>945450</v>
      </c>
      <c r="AB173" s="367">
        <f>SUM(Y173,AA173)</f>
        <v>12002450</v>
      </c>
      <c r="AC173" s="367">
        <f>ROUNDUP(AB173,-3)</f>
        <v>12003000</v>
      </c>
      <c r="AD173" s="367"/>
      <c r="AE173" s="367"/>
      <c r="AF173" s="367"/>
      <c r="AG173" s="367">
        <v>1569</v>
      </c>
    </row>
    <row r="174" spans="1:33" ht="12.75">
      <c r="A174" s="281">
        <v>128</v>
      </c>
      <c r="B174" s="281" t="s">
        <v>91</v>
      </c>
      <c r="C174" s="281"/>
      <c r="D174" s="281"/>
      <c r="E174" s="368" t="s">
        <v>346</v>
      </c>
      <c r="F174" s="365" t="s">
        <v>345</v>
      </c>
      <c r="G174" s="365" t="s">
        <v>340</v>
      </c>
      <c r="H174" s="365">
        <v>1</v>
      </c>
      <c r="I174" s="374" t="s">
        <v>553</v>
      </c>
      <c r="J174" s="281"/>
      <c r="K174" s="281">
        <v>2624000</v>
      </c>
      <c r="L174" s="365">
        <f>K174*1.0829</f>
        <v>2841529.6</v>
      </c>
      <c r="M174" s="365">
        <f>CEILING(L174*1.03,1000)</f>
        <v>2927000</v>
      </c>
      <c r="N174" s="365">
        <v>3257000</v>
      </c>
      <c r="O174" s="365">
        <v>4532000</v>
      </c>
      <c r="P174" s="365">
        <f>CEILING(N174*1.12,1000)</f>
        <v>3648000</v>
      </c>
      <c r="Q174" s="367">
        <f>O174-P174</f>
        <v>884000</v>
      </c>
      <c r="R174" s="281">
        <f>Q174*0.38</f>
        <v>335920</v>
      </c>
      <c r="S174" s="281">
        <f>P174+R174</f>
        <v>3983920</v>
      </c>
      <c r="T174" s="281">
        <v>4532000</v>
      </c>
      <c r="U174" s="367">
        <f>CEILING(T174*1.06,1000)</f>
        <v>4804000</v>
      </c>
      <c r="V174" s="367" t="s">
        <v>255</v>
      </c>
      <c r="W174" s="367" t="s">
        <v>293</v>
      </c>
      <c r="X174" s="367">
        <v>7201000</v>
      </c>
      <c r="Y174" s="367">
        <v>6316000</v>
      </c>
      <c r="Z174" s="367">
        <f>X174-Y174</f>
        <v>885000</v>
      </c>
      <c r="AA174" s="367">
        <f>Z174*45%</f>
        <v>398250</v>
      </c>
      <c r="AB174" s="367">
        <f>SUM(Y174,AA174)</f>
        <v>6714250</v>
      </c>
      <c r="AC174" s="367">
        <f>ROUNDUP(AB174,-3)</f>
        <v>6715000</v>
      </c>
      <c r="AD174" s="367"/>
      <c r="AE174" s="367"/>
      <c r="AF174" s="367"/>
      <c r="AG174" s="367">
        <v>861</v>
      </c>
    </row>
    <row r="175" spans="1:33" ht="12.75">
      <c r="A175" s="281">
        <v>129</v>
      </c>
      <c r="B175" s="281" t="s">
        <v>501</v>
      </c>
      <c r="C175" s="281"/>
      <c r="D175" s="281"/>
      <c r="E175" s="368" t="s">
        <v>338</v>
      </c>
      <c r="F175" s="365" t="s">
        <v>339</v>
      </c>
      <c r="G175" s="365" t="s">
        <v>344</v>
      </c>
      <c r="H175" s="365">
        <v>3</v>
      </c>
      <c r="I175" s="374" t="s">
        <v>30</v>
      </c>
      <c r="J175" s="281"/>
      <c r="K175" s="281">
        <v>2624000</v>
      </c>
      <c r="L175" s="365">
        <f>K175*1.0829</f>
        <v>2841529.6</v>
      </c>
      <c r="M175" s="365">
        <f>CEILING(L175*1.03,1000)</f>
        <v>2927000</v>
      </c>
      <c r="N175" s="365">
        <v>3257000</v>
      </c>
      <c r="O175" s="365">
        <v>4532000</v>
      </c>
      <c r="P175" s="365">
        <f>CEILING(N175*1.12,1000)</f>
        <v>3648000</v>
      </c>
      <c r="Q175" s="367">
        <f>O175-P175</f>
        <v>884000</v>
      </c>
      <c r="R175" s="281">
        <f>Q175*0.38</f>
        <v>335920</v>
      </c>
      <c r="S175" s="281">
        <f>P175+R175</f>
        <v>3983920</v>
      </c>
      <c r="T175" s="281">
        <v>4532000</v>
      </c>
      <c r="U175" s="367">
        <f>CEILING(T175*1.06,1000)</f>
        <v>4804000</v>
      </c>
      <c r="V175" s="367" t="s">
        <v>255</v>
      </c>
      <c r="W175" s="367" t="s">
        <v>293</v>
      </c>
      <c r="X175" s="367">
        <v>7201000</v>
      </c>
      <c r="Y175" s="367">
        <v>6316000</v>
      </c>
      <c r="Z175" s="367">
        <f t="shared" si="19"/>
        <v>885000</v>
      </c>
      <c r="AA175" s="367">
        <f t="shared" si="20"/>
        <v>398250</v>
      </c>
      <c r="AB175" s="367">
        <f>SUM(Y175,AA175)</f>
        <v>6714250</v>
      </c>
      <c r="AC175" s="367">
        <v>4375000</v>
      </c>
      <c r="AD175" s="367"/>
      <c r="AE175" s="367"/>
      <c r="AF175" s="367"/>
      <c r="AG175" s="367">
        <v>742</v>
      </c>
    </row>
    <row r="176" spans="1:33" ht="12.75">
      <c r="A176" s="14"/>
      <c r="B176" s="14"/>
      <c r="C176" s="14"/>
      <c r="D176" s="14"/>
      <c r="E176" s="391"/>
      <c r="F176" s="172"/>
      <c r="G176" s="172"/>
      <c r="H176" s="172"/>
      <c r="I176" s="84"/>
      <c r="J176" s="14"/>
      <c r="K176" s="14"/>
      <c r="L176" s="172"/>
      <c r="M176" s="172"/>
      <c r="N176" s="172"/>
      <c r="O176" s="172"/>
      <c r="P176" s="172"/>
      <c r="Q176" s="234"/>
      <c r="R176" s="14"/>
      <c r="S176" s="14"/>
      <c r="T176" s="14"/>
      <c r="U176" s="234"/>
      <c r="V176" s="234"/>
      <c r="W176" s="234"/>
      <c r="X176" s="234"/>
      <c r="Y176" s="234"/>
      <c r="Z176" s="234"/>
      <c r="AA176" s="234"/>
      <c r="AB176" s="234"/>
      <c r="AC176" s="234"/>
      <c r="AD176" s="234"/>
      <c r="AE176" s="234"/>
      <c r="AF176" s="234"/>
      <c r="AG176" s="234"/>
    </row>
    <row r="177" spans="2:3" ht="15">
      <c r="B177" s="351" t="s">
        <v>585</v>
      </c>
      <c r="C177" s="351"/>
    </row>
    <row r="178" spans="1:33" ht="12.75">
      <c r="A178" s="380">
        <v>13</v>
      </c>
      <c r="B178" s="380" t="s">
        <v>97</v>
      </c>
      <c r="C178" s="380"/>
      <c r="D178" s="380" t="s">
        <v>214</v>
      </c>
      <c r="E178" s="381" t="s">
        <v>338</v>
      </c>
      <c r="F178" s="382" t="s">
        <v>339</v>
      </c>
      <c r="G178" s="382" t="s">
        <v>340</v>
      </c>
      <c r="H178" s="382">
        <v>1</v>
      </c>
      <c r="I178" s="382" t="s">
        <v>30</v>
      </c>
      <c r="J178" s="380"/>
      <c r="K178" s="380">
        <v>4023000</v>
      </c>
      <c r="L178" s="382">
        <f>K178*1.0829</f>
        <v>4356506.7</v>
      </c>
      <c r="M178" s="382">
        <f>CEILING(L178*1.03,1000)</f>
        <v>4488000</v>
      </c>
      <c r="N178" s="382">
        <v>4993000</v>
      </c>
      <c r="O178" s="382">
        <v>8200000</v>
      </c>
      <c r="P178" s="382">
        <f>CEILING(N178*1.12,1000)</f>
        <v>5593000</v>
      </c>
      <c r="Q178" s="376">
        <f>O178-P178</f>
        <v>2607000</v>
      </c>
      <c r="R178" s="380">
        <f>Q178*0.38</f>
        <v>990660</v>
      </c>
      <c r="S178" s="380">
        <f>P178+R178</f>
        <v>6583660</v>
      </c>
      <c r="T178" s="376" t="e">
        <f>CEILING(#REF!*1.06,1000)</f>
        <v>#REF!</v>
      </c>
      <c r="U178" s="376" t="s">
        <v>267</v>
      </c>
      <c r="V178" s="376" t="s">
        <v>297</v>
      </c>
      <c r="W178" s="376">
        <v>13158000</v>
      </c>
      <c r="X178" s="376">
        <v>11057000</v>
      </c>
      <c r="Y178" s="376">
        <f aca="true" t="shared" si="23" ref="Y178:Y188">W178-X178</f>
        <v>2101000</v>
      </c>
      <c r="Z178" s="376">
        <f aca="true" t="shared" si="24" ref="Z178:Z188">Y178*45%</f>
        <v>945450</v>
      </c>
      <c r="AA178" s="376">
        <f>SUM(X178,Z178)</f>
        <v>12002450</v>
      </c>
      <c r="AB178" s="376">
        <f>ROUNDUP(AA178,-3)</f>
        <v>12003000</v>
      </c>
      <c r="AC178" s="376">
        <v>1465</v>
      </c>
      <c r="AD178" s="376"/>
      <c r="AE178" s="376"/>
      <c r="AF178" s="376"/>
      <c r="AG178" s="376">
        <v>1569</v>
      </c>
    </row>
    <row r="179" spans="1:33" ht="12.75">
      <c r="A179" s="183"/>
      <c r="B179" s="352" t="s">
        <v>135</v>
      </c>
      <c r="C179"/>
      <c r="D179" s="183"/>
      <c r="E179" s="183"/>
      <c r="F179" s="184"/>
      <c r="G179" s="184"/>
      <c r="H179" s="184"/>
      <c r="I179" s="184"/>
      <c r="J179" s="183"/>
      <c r="K179" s="183"/>
      <c r="L179" s="183"/>
      <c r="M179" s="183"/>
      <c r="N179" s="213"/>
      <c r="O179" s="213"/>
      <c r="P179" s="184"/>
      <c r="Q179" s="213"/>
      <c r="R179" s="183"/>
      <c r="S179" s="183"/>
      <c r="T179" s="183"/>
      <c r="U179" s="183"/>
      <c r="V179" s="183"/>
      <c r="W179" s="183"/>
      <c r="X179" s="183"/>
      <c r="Y179" s="213">
        <f t="shared" si="23"/>
        <v>0</v>
      </c>
      <c r="Z179" s="213">
        <f t="shared" si="24"/>
        <v>0</v>
      </c>
      <c r="AA179" s="213"/>
      <c r="AB179" s="213"/>
      <c r="AC179" s="213"/>
      <c r="AD179" s="213"/>
      <c r="AE179" s="213"/>
      <c r="AF179" s="213"/>
      <c r="AG179" s="213"/>
    </row>
    <row r="180" spans="1:33" ht="12.75">
      <c r="A180" s="380">
        <v>131</v>
      </c>
      <c r="B180" s="383" t="s">
        <v>99</v>
      </c>
      <c r="C180" s="383"/>
      <c r="D180" s="380" t="s">
        <v>33</v>
      </c>
      <c r="E180" s="381" t="s">
        <v>338</v>
      </c>
      <c r="F180" s="382" t="s">
        <v>339</v>
      </c>
      <c r="G180" s="382" t="s">
        <v>340</v>
      </c>
      <c r="H180" s="382">
        <v>1</v>
      </c>
      <c r="I180" s="382" t="s">
        <v>30</v>
      </c>
      <c r="J180" s="383"/>
      <c r="K180" s="380">
        <v>4023000</v>
      </c>
      <c r="L180" s="382">
        <f aca="true" t="shared" si="25" ref="L180:L188">K180*1.0829</f>
        <v>4356506.7</v>
      </c>
      <c r="M180" s="382">
        <f>CEILING(L180*1.03,1000)</f>
        <v>4488000</v>
      </c>
      <c r="N180" s="376">
        <v>4993000</v>
      </c>
      <c r="O180" s="376">
        <v>8200000</v>
      </c>
      <c r="P180" s="382">
        <f>CEILING(N180*1.12,1000)</f>
        <v>5593000</v>
      </c>
      <c r="Q180" s="376">
        <f aca="true" t="shared" si="26" ref="Q180:Q188">O180-P180</f>
        <v>2607000</v>
      </c>
      <c r="R180" s="380">
        <f aca="true" t="shared" si="27" ref="R180:R188">Q180*0.38</f>
        <v>990660</v>
      </c>
      <c r="S180" s="380">
        <f aca="true" t="shared" si="28" ref="S180:S188">P180+R180</f>
        <v>6583660</v>
      </c>
      <c r="T180" s="376" t="e">
        <f>CEILING(#REF!*1.06,1000)</f>
        <v>#REF!</v>
      </c>
      <c r="U180" s="376" t="s">
        <v>267</v>
      </c>
      <c r="V180" s="376" t="s">
        <v>297</v>
      </c>
      <c r="W180" s="376">
        <v>13158000</v>
      </c>
      <c r="X180" s="376">
        <v>11057000</v>
      </c>
      <c r="Y180" s="376">
        <f t="shared" si="23"/>
        <v>2101000</v>
      </c>
      <c r="Z180" s="376">
        <f t="shared" si="24"/>
        <v>945450</v>
      </c>
      <c r="AA180" s="376">
        <f aca="true" t="shared" si="29" ref="AA180:AA188">SUM(X180,Z180)</f>
        <v>12002450</v>
      </c>
      <c r="AB180" s="376">
        <f aca="true" t="shared" si="30" ref="AB180:AB188">ROUNDUP(AA180,-3)</f>
        <v>12003000</v>
      </c>
      <c r="AC180" s="376">
        <v>1465</v>
      </c>
      <c r="AD180" s="376"/>
      <c r="AE180" s="376"/>
      <c r="AF180" s="376"/>
      <c r="AG180" s="376">
        <v>1569</v>
      </c>
    </row>
    <row r="181" spans="1:33" ht="15">
      <c r="A181" s="380">
        <v>132</v>
      </c>
      <c r="B181" s="380" t="s">
        <v>206</v>
      </c>
      <c r="C181" s="380"/>
      <c r="D181" s="380"/>
      <c r="E181" s="381" t="s">
        <v>338</v>
      </c>
      <c r="F181" s="382" t="s">
        <v>339</v>
      </c>
      <c r="G181" s="382" t="s">
        <v>340</v>
      </c>
      <c r="H181" s="382">
        <v>1</v>
      </c>
      <c r="I181" s="382" t="s">
        <v>30</v>
      </c>
      <c r="J181" s="380"/>
      <c r="K181" s="380">
        <v>4023000</v>
      </c>
      <c r="L181" s="382">
        <f t="shared" si="25"/>
        <v>4356506.7</v>
      </c>
      <c r="M181" s="382">
        <f>CEILING(L181*1.03,1000)</f>
        <v>4488000</v>
      </c>
      <c r="N181" s="376">
        <v>4993000</v>
      </c>
      <c r="O181" s="376">
        <v>4993000</v>
      </c>
      <c r="P181" s="382">
        <v>4993000</v>
      </c>
      <c r="Q181" s="376">
        <f t="shared" si="26"/>
        <v>0</v>
      </c>
      <c r="R181" s="380">
        <f t="shared" si="27"/>
        <v>0</v>
      </c>
      <c r="S181" s="380">
        <f t="shared" si="28"/>
        <v>4993000</v>
      </c>
      <c r="T181" s="376" t="e">
        <f>CEILING(#REF!*1.06,1000)</f>
        <v>#REF!</v>
      </c>
      <c r="U181" s="376" t="s">
        <v>267</v>
      </c>
      <c r="V181" s="376" t="s">
        <v>297</v>
      </c>
      <c r="W181" s="376">
        <v>13158000</v>
      </c>
      <c r="X181" s="376">
        <v>11057000</v>
      </c>
      <c r="Y181" s="376">
        <f t="shared" si="23"/>
        <v>2101000</v>
      </c>
      <c r="Z181" s="376">
        <f t="shared" si="24"/>
        <v>945450</v>
      </c>
      <c r="AA181" s="376">
        <f t="shared" si="29"/>
        <v>12002450</v>
      </c>
      <c r="AB181" s="376">
        <f t="shared" si="30"/>
        <v>12003000</v>
      </c>
      <c r="AC181" s="376">
        <v>1465</v>
      </c>
      <c r="AD181" s="351"/>
      <c r="AE181" s="376"/>
      <c r="AF181" s="376"/>
      <c r="AG181" s="376">
        <v>1569</v>
      </c>
    </row>
    <row r="182" spans="1:33" ht="12.75">
      <c r="A182" s="380">
        <v>133</v>
      </c>
      <c r="B182" s="380" t="s">
        <v>132</v>
      </c>
      <c r="C182" s="380"/>
      <c r="D182" s="380"/>
      <c r="E182" s="381" t="s">
        <v>338</v>
      </c>
      <c r="F182" s="382" t="s">
        <v>339</v>
      </c>
      <c r="G182" s="382" t="s">
        <v>340</v>
      </c>
      <c r="H182" s="382">
        <v>1</v>
      </c>
      <c r="I182" s="382" t="s">
        <v>30</v>
      </c>
      <c r="J182" s="380"/>
      <c r="K182" s="380">
        <v>4023000</v>
      </c>
      <c r="L182" s="382">
        <f t="shared" si="25"/>
        <v>4356506.7</v>
      </c>
      <c r="M182" s="382">
        <f>CEILING(L182*1.03,1000)</f>
        <v>4488000</v>
      </c>
      <c r="N182" s="376">
        <v>4993000</v>
      </c>
      <c r="O182" s="376">
        <v>8200000</v>
      </c>
      <c r="P182" s="382">
        <f aca="true" t="shared" si="31" ref="P182:P188">CEILING(N182*1.12,1000)</f>
        <v>5593000</v>
      </c>
      <c r="Q182" s="376">
        <f t="shared" si="26"/>
        <v>2607000</v>
      </c>
      <c r="R182" s="380">
        <f t="shared" si="27"/>
        <v>990660</v>
      </c>
      <c r="S182" s="380">
        <f t="shared" si="28"/>
        <v>6583660</v>
      </c>
      <c r="T182" s="376" t="e">
        <f>CEILING(#REF!*1.06,1000)</f>
        <v>#REF!</v>
      </c>
      <c r="U182" s="376" t="s">
        <v>267</v>
      </c>
      <c r="V182" s="376" t="s">
        <v>297</v>
      </c>
      <c r="W182" s="376">
        <v>13158000</v>
      </c>
      <c r="X182" s="376">
        <v>11057000</v>
      </c>
      <c r="Y182" s="376">
        <f t="shared" si="23"/>
        <v>2101000</v>
      </c>
      <c r="Z182" s="376">
        <f t="shared" si="24"/>
        <v>945450</v>
      </c>
      <c r="AA182" s="376">
        <f t="shared" si="29"/>
        <v>12002450</v>
      </c>
      <c r="AB182" s="376">
        <f t="shared" si="30"/>
        <v>12003000</v>
      </c>
      <c r="AC182" s="376">
        <v>1465</v>
      </c>
      <c r="AD182" s="376"/>
      <c r="AE182" s="376"/>
      <c r="AF182" s="376"/>
      <c r="AG182" s="376">
        <v>1569</v>
      </c>
    </row>
    <row r="183" spans="1:33" ht="12.75">
      <c r="A183" s="380">
        <v>134</v>
      </c>
      <c r="B183" s="380" t="s">
        <v>508</v>
      </c>
      <c r="C183" s="380"/>
      <c r="D183" s="380"/>
      <c r="E183" s="381" t="s">
        <v>338</v>
      </c>
      <c r="F183" s="382" t="s">
        <v>339</v>
      </c>
      <c r="G183" s="382" t="s">
        <v>340</v>
      </c>
      <c r="H183" s="382">
        <v>1</v>
      </c>
      <c r="I183" s="382" t="s">
        <v>30</v>
      </c>
      <c r="J183" s="380"/>
      <c r="K183" s="380">
        <v>4023000</v>
      </c>
      <c r="L183" s="382">
        <f t="shared" si="25"/>
        <v>4356506.7</v>
      </c>
      <c r="M183" s="382">
        <f>CEILING(L183*1.03,1000)</f>
        <v>4488000</v>
      </c>
      <c r="N183" s="376">
        <v>4993000</v>
      </c>
      <c r="O183" s="376">
        <v>8200000</v>
      </c>
      <c r="P183" s="382">
        <f t="shared" si="31"/>
        <v>5593000</v>
      </c>
      <c r="Q183" s="376">
        <f t="shared" si="26"/>
        <v>2607000</v>
      </c>
      <c r="R183" s="380">
        <f t="shared" si="27"/>
        <v>990660</v>
      </c>
      <c r="S183" s="380">
        <f t="shared" si="28"/>
        <v>6583660</v>
      </c>
      <c r="T183" s="376" t="e">
        <f>CEILING(#REF!*1.06,1000)</f>
        <v>#REF!</v>
      </c>
      <c r="U183" s="376" t="s">
        <v>267</v>
      </c>
      <c r="V183" s="376" t="s">
        <v>297</v>
      </c>
      <c r="W183" s="376">
        <v>13158000</v>
      </c>
      <c r="X183" s="376">
        <v>11057000</v>
      </c>
      <c r="Y183" s="376">
        <f t="shared" si="23"/>
        <v>2101000</v>
      </c>
      <c r="Z183" s="376">
        <f t="shared" si="24"/>
        <v>945450</v>
      </c>
      <c r="AA183" s="376">
        <f t="shared" si="29"/>
        <v>12002450</v>
      </c>
      <c r="AB183" s="376">
        <f t="shared" si="30"/>
        <v>12003000</v>
      </c>
      <c r="AC183" s="376">
        <v>1465</v>
      </c>
      <c r="AD183" s="376"/>
      <c r="AE183" s="376"/>
      <c r="AF183" s="376"/>
      <c r="AG183" s="376">
        <v>1569</v>
      </c>
    </row>
    <row r="184" spans="1:33" ht="12.75">
      <c r="A184" s="380">
        <v>135</v>
      </c>
      <c r="B184" s="380" t="s">
        <v>103</v>
      </c>
      <c r="C184" s="380"/>
      <c r="D184" s="380"/>
      <c r="E184" s="381" t="s">
        <v>571</v>
      </c>
      <c r="F184" s="382" t="s">
        <v>353</v>
      </c>
      <c r="G184" s="382" t="s">
        <v>340</v>
      </c>
      <c r="H184" s="382">
        <v>1</v>
      </c>
      <c r="I184" s="382" t="s">
        <v>552</v>
      </c>
      <c r="J184" s="380"/>
      <c r="K184" s="380">
        <v>2857000</v>
      </c>
      <c r="L184" s="382">
        <f t="shared" si="25"/>
        <v>3093845.3</v>
      </c>
      <c r="M184" s="382">
        <f>CEILING(L184*1.03,1000)</f>
        <v>3187000</v>
      </c>
      <c r="N184" s="376">
        <v>3546000</v>
      </c>
      <c r="O184" s="376">
        <v>7405000</v>
      </c>
      <c r="P184" s="382">
        <f t="shared" si="31"/>
        <v>3972000</v>
      </c>
      <c r="Q184" s="376">
        <f t="shared" si="26"/>
        <v>3433000</v>
      </c>
      <c r="R184" s="380">
        <f t="shared" si="27"/>
        <v>1304540</v>
      </c>
      <c r="S184" s="380">
        <f t="shared" si="28"/>
        <v>5276540</v>
      </c>
      <c r="T184" s="376" t="e">
        <f>CEILING(#REF!*1.06,1000)</f>
        <v>#REF!</v>
      </c>
      <c r="U184" s="376" t="s">
        <v>268</v>
      </c>
      <c r="V184" s="376" t="s">
        <v>305</v>
      </c>
      <c r="W184" s="376">
        <v>11289000</v>
      </c>
      <c r="X184" s="376">
        <v>9902000</v>
      </c>
      <c r="Y184" s="376">
        <f t="shared" si="23"/>
        <v>1387000</v>
      </c>
      <c r="Z184" s="376">
        <f t="shared" si="24"/>
        <v>624150</v>
      </c>
      <c r="AA184" s="376">
        <f t="shared" si="29"/>
        <v>10526150</v>
      </c>
      <c r="AB184" s="376">
        <f t="shared" si="30"/>
        <v>10527000</v>
      </c>
      <c r="AC184" s="376">
        <v>1258</v>
      </c>
      <c r="AD184" s="376"/>
      <c r="AE184" s="376"/>
      <c r="AF184" s="376"/>
      <c r="AG184" s="376">
        <v>1347</v>
      </c>
    </row>
    <row r="185" spans="1:33" ht="12.75">
      <c r="A185" s="380">
        <v>136</v>
      </c>
      <c r="B185" s="380" t="s">
        <v>156</v>
      </c>
      <c r="C185" s="380"/>
      <c r="D185" s="380"/>
      <c r="E185" s="381" t="s">
        <v>571</v>
      </c>
      <c r="F185" s="382" t="s">
        <v>353</v>
      </c>
      <c r="G185" s="382" t="s">
        <v>340</v>
      </c>
      <c r="H185" s="382">
        <v>1</v>
      </c>
      <c r="I185" s="382" t="s">
        <v>552</v>
      </c>
      <c r="J185" s="380"/>
      <c r="K185" s="380">
        <v>2795000</v>
      </c>
      <c r="L185" s="382">
        <f t="shared" si="25"/>
        <v>3026705.5</v>
      </c>
      <c r="M185" s="382">
        <v>3187000</v>
      </c>
      <c r="N185" s="376">
        <v>3546000</v>
      </c>
      <c r="O185" s="376">
        <v>7405000</v>
      </c>
      <c r="P185" s="382">
        <f t="shared" si="31"/>
        <v>3972000</v>
      </c>
      <c r="Q185" s="376">
        <f t="shared" si="26"/>
        <v>3433000</v>
      </c>
      <c r="R185" s="380">
        <f t="shared" si="27"/>
        <v>1304540</v>
      </c>
      <c r="S185" s="380">
        <f t="shared" si="28"/>
        <v>5276540</v>
      </c>
      <c r="T185" s="376" t="e">
        <f>CEILING(#REF!*1.06,1000)</f>
        <v>#REF!</v>
      </c>
      <c r="U185" s="376" t="s">
        <v>268</v>
      </c>
      <c r="V185" s="376" t="s">
        <v>305</v>
      </c>
      <c r="W185" s="376">
        <v>11289000</v>
      </c>
      <c r="X185" s="376">
        <v>9902000</v>
      </c>
      <c r="Y185" s="376">
        <f t="shared" si="23"/>
        <v>1387000</v>
      </c>
      <c r="Z185" s="376">
        <f t="shared" si="24"/>
        <v>624150</v>
      </c>
      <c r="AA185" s="376">
        <f t="shared" si="29"/>
        <v>10526150</v>
      </c>
      <c r="AB185" s="376">
        <f t="shared" si="30"/>
        <v>10527000</v>
      </c>
      <c r="AC185" s="376">
        <v>1258</v>
      </c>
      <c r="AD185" s="376"/>
      <c r="AE185" s="376"/>
      <c r="AF185" s="376"/>
      <c r="AG185" s="376">
        <v>1347</v>
      </c>
    </row>
    <row r="186" spans="1:33" ht="12.75">
      <c r="A186" s="380">
        <v>137</v>
      </c>
      <c r="B186" s="380" t="s">
        <v>111</v>
      </c>
      <c r="C186" s="380"/>
      <c r="D186" s="380"/>
      <c r="E186" s="381" t="s">
        <v>571</v>
      </c>
      <c r="F186" s="382" t="s">
        <v>353</v>
      </c>
      <c r="G186" s="382" t="s">
        <v>340</v>
      </c>
      <c r="H186" s="382">
        <v>1</v>
      </c>
      <c r="I186" s="382" t="s">
        <v>552</v>
      </c>
      <c r="J186" s="380"/>
      <c r="K186" s="380">
        <v>2857000</v>
      </c>
      <c r="L186" s="382">
        <f t="shared" si="25"/>
        <v>3093845.3</v>
      </c>
      <c r="M186" s="382">
        <f>CEILING(L186*1.03,1000)</f>
        <v>3187000</v>
      </c>
      <c r="N186" s="376">
        <v>3546000</v>
      </c>
      <c r="O186" s="376">
        <v>7405000</v>
      </c>
      <c r="P186" s="382">
        <f t="shared" si="31"/>
        <v>3972000</v>
      </c>
      <c r="Q186" s="376">
        <f t="shared" si="26"/>
        <v>3433000</v>
      </c>
      <c r="R186" s="380">
        <f t="shared" si="27"/>
        <v>1304540</v>
      </c>
      <c r="S186" s="380">
        <f t="shared" si="28"/>
        <v>5276540</v>
      </c>
      <c r="T186" s="376" t="e">
        <f>CEILING(#REF!*1.06,1000)</f>
        <v>#REF!</v>
      </c>
      <c r="U186" s="376" t="s">
        <v>268</v>
      </c>
      <c r="V186" s="376" t="s">
        <v>305</v>
      </c>
      <c r="W186" s="376">
        <v>11289000</v>
      </c>
      <c r="X186" s="376">
        <v>9902000</v>
      </c>
      <c r="Y186" s="376">
        <f t="shared" si="23"/>
        <v>1387000</v>
      </c>
      <c r="Z186" s="376">
        <f t="shared" si="24"/>
        <v>624150</v>
      </c>
      <c r="AA186" s="376">
        <f t="shared" si="29"/>
        <v>10526150</v>
      </c>
      <c r="AB186" s="376">
        <f t="shared" si="30"/>
        <v>10527000</v>
      </c>
      <c r="AC186" s="376">
        <v>1258</v>
      </c>
      <c r="AD186" s="376"/>
      <c r="AE186" s="376"/>
      <c r="AF186" s="376"/>
      <c r="AG186" s="376">
        <v>1347</v>
      </c>
    </row>
    <row r="187" spans="1:33" ht="12.75">
      <c r="A187" s="380">
        <v>138</v>
      </c>
      <c r="B187" s="380" t="s">
        <v>104</v>
      </c>
      <c r="C187" s="380"/>
      <c r="D187" s="380"/>
      <c r="E187" s="381" t="s">
        <v>571</v>
      </c>
      <c r="F187" s="382" t="s">
        <v>353</v>
      </c>
      <c r="G187" s="382" t="s">
        <v>340</v>
      </c>
      <c r="H187" s="382">
        <v>1</v>
      </c>
      <c r="I187" s="382" t="s">
        <v>552</v>
      </c>
      <c r="J187" s="380"/>
      <c r="K187" s="380">
        <v>2857000</v>
      </c>
      <c r="L187" s="382">
        <f t="shared" si="25"/>
        <v>3093845.3</v>
      </c>
      <c r="M187" s="382">
        <f>CEILING(L187*1.03,1000)</f>
        <v>3187000</v>
      </c>
      <c r="N187" s="376">
        <v>3546000</v>
      </c>
      <c r="O187" s="376">
        <v>7405000</v>
      </c>
      <c r="P187" s="382">
        <f t="shared" si="31"/>
        <v>3972000</v>
      </c>
      <c r="Q187" s="376">
        <f t="shared" si="26"/>
        <v>3433000</v>
      </c>
      <c r="R187" s="380">
        <f t="shared" si="27"/>
        <v>1304540</v>
      </c>
      <c r="S187" s="380">
        <f t="shared" si="28"/>
        <v>5276540</v>
      </c>
      <c r="T187" s="376" t="e">
        <f>CEILING(#REF!*1.06,1000)</f>
        <v>#REF!</v>
      </c>
      <c r="U187" s="376" t="s">
        <v>268</v>
      </c>
      <c r="V187" s="376" t="s">
        <v>305</v>
      </c>
      <c r="W187" s="376">
        <v>11289000</v>
      </c>
      <c r="X187" s="376">
        <v>9902000</v>
      </c>
      <c r="Y187" s="376">
        <f t="shared" si="23"/>
        <v>1387000</v>
      </c>
      <c r="Z187" s="376">
        <f t="shared" si="24"/>
        <v>624150</v>
      </c>
      <c r="AA187" s="376">
        <f t="shared" si="29"/>
        <v>10526150</v>
      </c>
      <c r="AB187" s="376">
        <f t="shared" si="30"/>
        <v>10527000</v>
      </c>
      <c r="AC187" s="376">
        <v>1258</v>
      </c>
      <c r="AD187" s="376"/>
      <c r="AE187" s="376"/>
      <c r="AF187" s="376"/>
      <c r="AG187" s="376">
        <v>1347</v>
      </c>
    </row>
    <row r="188" spans="1:33" ht="12.75">
      <c r="A188" s="380">
        <v>139</v>
      </c>
      <c r="B188" s="380" t="s">
        <v>570</v>
      </c>
      <c r="C188" s="380"/>
      <c r="D188" s="380"/>
      <c r="E188" s="381" t="s">
        <v>338</v>
      </c>
      <c r="F188" s="382" t="s">
        <v>339</v>
      </c>
      <c r="G188" s="382" t="s">
        <v>343</v>
      </c>
      <c r="H188" s="382">
        <v>2</v>
      </c>
      <c r="I188" s="382" t="s">
        <v>30</v>
      </c>
      <c r="J188" s="380"/>
      <c r="K188" s="380">
        <v>2449000</v>
      </c>
      <c r="L188" s="382">
        <f t="shared" si="25"/>
        <v>2652022.1</v>
      </c>
      <c r="M188" s="382">
        <f>CEILING(L188*1.03,1000)</f>
        <v>2732000</v>
      </c>
      <c r="N188" s="376">
        <v>3257000</v>
      </c>
      <c r="O188" s="376">
        <v>4532000</v>
      </c>
      <c r="P188" s="382">
        <f t="shared" si="31"/>
        <v>3648000</v>
      </c>
      <c r="Q188" s="376">
        <f t="shared" si="26"/>
        <v>884000</v>
      </c>
      <c r="R188" s="380">
        <f t="shared" si="27"/>
        <v>335920</v>
      </c>
      <c r="S188" s="380">
        <f t="shared" si="28"/>
        <v>3983920</v>
      </c>
      <c r="T188" s="376" t="e">
        <f>CEILING(#REF!*1.06,1000)</f>
        <v>#REF!</v>
      </c>
      <c r="U188" s="376" t="s">
        <v>258</v>
      </c>
      <c r="V188" s="376" t="s">
        <v>293</v>
      </c>
      <c r="W188" s="376">
        <v>7201000</v>
      </c>
      <c r="X188" s="376">
        <v>6316000</v>
      </c>
      <c r="Y188" s="376">
        <f t="shared" si="23"/>
        <v>885000</v>
      </c>
      <c r="Z188" s="376">
        <f t="shared" si="24"/>
        <v>398250</v>
      </c>
      <c r="AA188" s="376">
        <f t="shared" si="29"/>
        <v>6714250</v>
      </c>
      <c r="AB188" s="376">
        <f t="shared" si="30"/>
        <v>6715000</v>
      </c>
      <c r="AC188" s="376">
        <v>887</v>
      </c>
      <c r="AD188" s="376"/>
      <c r="AE188" s="376"/>
      <c r="AF188" s="376"/>
      <c r="AG188" s="376">
        <v>1026</v>
      </c>
    </row>
    <row r="189" ht="12.75">
      <c r="B189" s="352" t="s">
        <v>580</v>
      </c>
    </row>
    <row r="190" spans="1:33" ht="12.75">
      <c r="A190" s="380">
        <v>140</v>
      </c>
      <c r="B190" s="380" t="s">
        <v>212</v>
      </c>
      <c r="C190" s="380"/>
      <c r="D190" s="380"/>
      <c r="E190" s="381" t="s">
        <v>338</v>
      </c>
      <c r="F190" s="382" t="s">
        <v>339</v>
      </c>
      <c r="G190" s="382" t="s">
        <v>340</v>
      </c>
      <c r="H190" s="382">
        <v>1</v>
      </c>
      <c r="I190" s="382" t="s">
        <v>30</v>
      </c>
      <c r="J190" s="380"/>
      <c r="K190" s="380">
        <v>3556000</v>
      </c>
      <c r="L190" s="382">
        <f>K190*1.0829</f>
        <v>3850792.4</v>
      </c>
      <c r="M190" s="382">
        <f>CEILING(L190*1.03,1000)</f>
        <v>3967000</v>
      </c>
      <c r="N190" s="376">
        <v>4993000</v>
      </c>
      <c r="O190" s="376">
        <v>8200000</v>
      </c>
      <c r="P190" s="382">
        <f>CEILING(N190*1.12,1000)</f>
        <v>5593000</v>
      </c>
      <c r="Q190" s="376">
        <f>O190-P190</f>
        <v>2607000</v>
      </c>
      <c r="R190" s="380">
        <f>Q190*0.38</f>
        <v>990660</v>
      </c>
      <c r="S190" s="380">
        <f>P190+R190</f>
        <v>6583660</v>
      </c>
      <c r="T190" s="376" t="e">
        <f>CEILING(#REF!*1.06,1000)</f>
        <v>#REF!</v>
      </c>
      <c r="U190" s="376" t="s">
        <v>267</v>
      </c>
      <c r="V190" s="376" t="s">
        <v>297</v>
      </c>
      <c r="W190" s="376">
        <v>13158000</v>
      </c>
      <c r="X190" s="376">
        <v>11057000</v>
      </c>
      <c r="Y190" s="376">
        <f>W190-X190</f>
        <v>2101000</v>
      </c>
      <c r="Z190" s="376">
        <f>Y190*45%</f>
        <v>945450</v>
      </c>
      <c r="AA190" s="376">
        <f>SUM(X190,Z190)</f>
        <v>12002450</v>
      </c>
      <c r="AB190" s="376">
        <f>ROUNDUP(AA190,-3)</f>
        <v>12003000</v>
      </c>
      <c r="AC190" s="376">
        <v>1465</v>
      </c>
      <c r="AD190" s="376"/>
      <c r="AE190" s="376"/>
      <c r="AF190" s="376"/>
      <c r="AG190" s="376">
        <v>1569</v>
      </c>
    </row>
    <row r="191" spans="1:33" ht="12.75">
      <c r="A191" s="380">
        <v>141</v>
      </c>
      <c r="B191" s="380" t="s">
        <v>131</v>
      </c>
      <c r="C191" s="380"/>
      <c r="D191" s="380"/>
      <c r="E191" s="381" t="s">
        <v>338</v>
      </c>
      <c r="F191" s="382" t="s">
        <v>339</v>
      </c>
      <c r="G191" s="382" t="s">
        <v>340</v>
      </c>
      <c r="H191" s="382">
        <v>1</v>
      </c>
      <c r="I191" s="382" t="s">
        <v>30</v>
      </c>
      <c r="J191" s="380"/>
      <c r="K191" s="380">
        <v>4023000</v>
      </c>
      <c r="L191" s="382">
        <f>K191*1.0829</f>
        <v>4356506.7</v>
      </c>
      <c r="M191" s="382">
        <f>CEILING(L191*1.03,1000)</f>
        <v>4488000</v>
      </c>
      <c r="N191" s="376">
        <v>4993000</v>
      </c>
      <c r="O191" s="376">
        <v>8200000</v>
      </c>
      <c r="P191" s="382">
        <f>CEILING(N191*1.12,1000)</f>
        <v>5593000</v>
      </c>
      <c r="Q191" s="376">
        <f>O191-P191</f>
        <v>2607000</v>
      </c>
      <c r="R191" s="380">
        <f>Q191*0.38</f>
        <v>990660</v>
      </c>
      <c r="S191" s="380">
        <f>P191+R191</f>
        <v>6583660</v>
      </c>
      <c r="T191" s="376" t="e">
        <f>CEILING(#REF!*1.06,1000)</f>
        <v>#REF!</v>
      </c>
      <c r="U191" s="376" t="s">
        <v>267</v>
      </c>
      <c r="V191" s="376" t="s">
        <v>297</v>
      </c>
      <c r="W191" s="376">
        <v>13158000</v>
      </c>
      <c r="X191" s="376">
        <v>11057000</v>
      </c>
      <c r="Y191" s="376">
        <f>W191-X191</f>
        <v>2101000</v>
      </c>
      <c r="Z191" s="376">
        <f>Y191*45%</f>
        <v>945450</v>
      </c>
      <c r="AA191" s="376">
        <f>SUM(X191,Z191)</f>
        <v>12002450</v>
      </c>
      <c r="AB191" s="376">
        <f>ROUNDUP(AA191,-3)</f>
        <v>12003000</v>
      </c>
      <c r="AC191" s="376">
        <v>1465</v>
      </c>
      <c r="AD191" s="376"/>
      <c r="AE191" s="376"/>
      <c r="AF191" s="376"/>
      <c r="AG191" s="376">
        <v>1569</v>
      </c>
    </row>
    <row r="192" spans="1:33" ht="12.75">
      <c r="A192" s="380">
        <v>142</v>
      </c>
      <c r="B192" s="380" t="s">
        <v>480</v>
      </c>
      <c r="C192" s="380"/>
      <c r="D192" s="380"/>
      <c r="E192" s="381" t="s">
        <v>338</v>
      </c>
      <c r="F192" s="382" t="s">
        <v>339</v>
      </c>
      <c r="G192" s="382" t="s">
        <v>343</v>
      </c>
      <c r="H192" s="382">
        <v>3</v>
      </c>
      <c r="I192" s="382" t="s">
        <v>30</v>
      </c>
      <c r="J192" s="380"/>
      <c r="K192" s="380"/>
      <c r="L192" s="382"/>
      <c r="M192" s="382"/>
      <c r="N192" s="376"/>
      <c r="O192" s="376"/>
      <c r="P192" s="382"/>
      <c r="Q192" s="376"/>
      <c r="R192" s="380"/>
      <c r="S192" s="380"/>
      <c r="T192" s="376"/>
      <c r="U192" s="376"/>
      <c r="V192" s="376"/>
      <c r="W192" s="376"/>
      <c r="X192" s="376"/>
      <c r="Y192" s="376"/>
      <c r="Z192" s="376"/>
      <c r="AA192" s="376"/>
      <c r="AB192" s="376">
        <v>7730000</v>
      </c>
      <c r="AC192" s="376">
        <v>1160</v>
      </c>
      <c r="AD192" s="381"/>
      <c r="AE192" s="376"/>
      <c r="AF192" s="376"/>
      <c r="AG192" s="376">
        <v>950</v>
      </c>
    </row>
    <row r="193" spans="1:33" ht="12.75">
      <c r="A193" s="183"/>
      <c r="B193" s="352" t="s">
        <v>386</v>
      </c>
      <c r="C193" s="183"/>
      <c r="D193" s="183"/>
      <c r="E193" s="212"/>
      <c r="F193" s="184"/>
      <c r="G193" s="184"/>
      <c r="H193" s="184"/>
      <c r="I193" s="184"/>
      <c r="J193" s="183"/>
      <c r="K193" s="183"/>
      <c r="L193" s="184"/>
      <c r="M193" s="184"/>
      <c r="N193" s="213"/>
      <c r="O193" s="213"/>
      <c r="P193" s="184"/>
      <c r="Q193" s="213"/>
      <c r="R193" s="183"/>
      <c r="S193" s="183"/>
      <c r="T193" s="213"/>
      <c r="U193" s="213"/>
      <c r="V193" s="213"/>
      <c r="W193" s="213"/>
      <c r="X193" s="213"/>
      <c r="Y193" s="213"/>
      <c r="Z193" s="213"/>
      <c r="AA193" s="213"/>
      <c r="AB193" s="213"/>
      <c r="AC193" s="213"/>
      <c r="AD193" s="213"/>
      <c r="AE193" s="213"/>
      <c r="AF193" s="213"/>
      <c r="AG193" s="213"/>
    </row>
    <row r="194" spans="1:33" ht="12.75">
      <c r="A194" s="380">
        <v>143</v>
      </c>
      <c r="B194" s="380" t="s">
        <v>110</v>
      </c>
      <c r="C194" s="380"/>
      <c r="D194" s="380"/>
      <c r="E194" s="381" t="s">
        <v>338</v>
      </c>
      <c r="F194" s="382" t="s">
        <v>339</v>
      </c>
      <c r="G194" s="382" t="s">
        <v>340</v>
      </c>
      <c r="H194" s="382">
        <v>1</v>
      </c>
      <c r="I194" s="382" t="s">
        <v>30</v>
      </c>
      <c r="J194" s="380"/>
      <c r="K194" s="380">
        <v>4023000</v>
      </c>
      <c r="L194" s="382">
        <f>K194*1.0829</f>
        <v>4356506.7</v>
      </c>
      <c r="M194" s="382">
        <f>CEILING(L194*1.03,1000)</f>
        <v>4488000</v>
      </c>
      <c r="N194" s="376">
        <v>4993000</v>
      </c>
      <c r="O194" s="376">
        <v>8200000</v>
      </c>
      <c r="P194" s="382">
        <f>CEILING(N194*1.12,1000)</f>
        <v>5593000</v>
      </c>
      <c r="Q194" s="376">
        <f>O194-P194</f>
        <v>2607000</v>
      </c>
      <c r="R194" s="380">
        <f>Q194*0.38</f>
        <v>990660</v>
      </c>
      <c r="S194" s="380">
        <f>P194+R194</f>
        <v>6583660</v>
      </c>
      <c r="T194" s="376" t="e">
        <f>CEILING(#REF!*1.06,1000)</f>
        <v>#REF!</v>
      </c>
      <c r="U194" s="376" t="s">
        <v>267</v>
      </c>
      <c r="V194" s="376" t="s">
        <v>297</v>
      </c>
      <c r="W194" s="376">
        <v>13158000</v>
      </c>
      <c r="X194" s="376">
        <v>11057000</v>
      </c>
      <c r="Y194" s="376">
        <f>W194-X194</f>
        <v>2101000</v>
      </c>
      <c r="Z194" s="376">
        <f>Y194*45%</f>
        <v>945450</v>
      </c>
      <c r="AA194" s="376">
        <f>SUM(X194,Z194)</f>
        <v>12002450</v>
      </c>
      <c r="AB194" s="376">
        <f>ROUNDUP(AA194,-3)</f>
        <v>12003000</v>
      </c>
      <c r="AC194" s="376">
        <v>1465</v>
      </c>
      <c r="AD194" s="376"/>
      <c r="AE194" s="376"/>
      <c r="AF194" s="376"/>
      <c r="AG194" s="376">
        <v>1569</v>
      </c>
    </row>
    <row r="195" spans="1:33" ht="12.75">
      <c r="A195" s="380">
        <v>144</v>
      </c>
      <c r="B195" s="380" t="s">
        <v>387</v>
      </c>
      <c r="C195" s="380"/>
      <c r="D195" s="380"/>
      <c r="E195" s="381" t="s">
        <v>338</v>
      </c>
      <c r="F195" s="382" t="s">
        <v>339</v>
      </c>
      <c r="G195" s="382" t="s">
        <v>340</v>
      </c>
      <c r="H195" s="382">
        <v>1</v>
      </c>
      <c r="I195" s="382" t="s">
        <v>30</v>
      </c>
      <c r="J195" s="380"/>
      <c r="K195" s="380">
        <v>3089000</v>
      </c>
      <c r="L195" s="382">
        <f>K195*1.0829</f>
        <v>3345078.1</v>
      </c>
      <c r="M195" s="382">
        <f>CEILING(L195*1.03,1000)</f>
        <v>3446000</v>
      </c>
      <c r="N195" s="376">
        <v>4414000</v>
      </c>
      <c r="O195" s="376">
        <v>7405000</v>
      </c>
      <c r="P195" s="382">
        <f>CEILING(N195*1.12,1000)</f>
        <v>4944000</v>
      </c>
      <c r="Q195" s="376">
        <f>O195-P195</f>
        <v>2461000</v>
      </c>
      <c r="R195" s="380">
        <f>Q195*0.38</f>
        <v>935180</v>
      </c>
      <c r="S195" s="380">
        <f>P195+R195</f>
        <v>5879180</v>
      </c>
      <c r="T195" s="376" t="e">
        <f>CEILING(#REF!*1.06,1000)</f>
        <v>#REF!</v>
      </c>
      <c r="U195" s="376" t="s">
        <v>270</v>
      </c>
      <c r="V195" s="376" t="s">
        <v>300</v>
      </c>
      <c r="W195" s="376">
        <v>11784000</v>
      </c>
      <c r="X195" s="376">
        <v>9902000</v>
      </c>
      <c r="Y195" s="376">
        <f>W195-X195</f>
        <v>1882000</v>
      </c>
      <c r="Z195" s="376">
        <f>Y195*45%</f>
        <v>846900</v>
      </c>
      <c r="AA195" s="376">
        <f>SUM(X195,Z195)</f>
        <v>10748900</v>
      </c>
      <c r="AB195" s="376">
        <f>ROUNDUP(AA195,-3)</f>
        <v>10749000</v>
      </c>
      <c r="AC195" s="376">
        <v>1465</v>
      </c>
      <c r="AD195" s="376"/>
      <c r="AE195" s="376"/>
      <c r="AF195" s="376"/>
      <c r="AG195" s="376">
        <v>1569</v>
      </c>
    </row>
    <row r="196" spans="1:33" ht="12.75">
      <c r="A196" s="380">
        <v>145</v>
      </c>
      <c r="B196" s="380" t="s">
        <v>112</v>
      </c>
      <c r="C196" s="380"/>
      <c r="D196" s="380"/>
      <c r="E196" s="381" t="s">
        <v>346</v>
      </c>
      <c r="F196" s="382" t="s">
        <v>345</v>
      </c>
      <c r="G196" s="382" t="s">
        <v>340</v>
      </c>
      <c r="H196" s="382">
        <v>1</v>
      </c>
      <c r="I196" s="382" t="s">
        <v>553</v>
      </c>
      <c r="J196" s="380"/>
      <c r="K196" s="380">
        <v>2624000</v>
      </c>
      <c r="L196" s="382">
        <f>K196*1.0829</f>
        <v>2841529.6</v>
      </c>
      <c r="M196" s="382">
        <f>CEILING(L196*1.03,1000)</f>
        <v>2927000</v>
      </c>
      <c r="N196" s="376">
        <v>3257000</v>
      </c>
      <c r="O196" s="376">
        <v>4532000</v>
      </c>
      <c r="P196" s="382">
        <f>CEILING(N196*1.12,1000)</f>
        <v>3648000</v>
      </c>
      <c r="Q196" s="376">
        <f>O196-P196</f>
        <v>884000</v>
      </c>
      <c r="R196" s="380">
        <f>Q196*0.38</f>
        <v>335920</v>
      </c>
      <c r="S196" s="380">
        <f>P196+R196</f>
        <v>3983920</v>
      </c>
      <c r="T196" s="376" t="e">
        <f>CEILING(#REF!*1.06,1000)</f>
        <v>#REF!</v>
      </c>
      <c r="U196" s="376" t="s">
        <v>258</v>
      </c>
      <c r="V196" s="376" t="s">
        <v>293</v>
      </c>
      <c r="W196" s="376">
        <v>7201000</v>
      </c>
      <c r="X196" s="376">
        <v>6316000</v>
      </c>
      <c r="Y196" s="376">
        <f>W196-X196</f>
        <v>885000</v>
      </c>
      <c r="Z196" s="376">
        <f>Y196*45%</f>
        <v>398250</v>
      </c>
      <c r="AA196" s="376">
        <f>SUM(X196,Z196)</f>
        <v>6714250</v>
      </c>
      <c r="AB196" s="376">
        <f>ROUNDUP(AA196,-3)</f>
        <v>6715000</v>
      </c>
      <c r="AC196" s="376">
        <v>804</v>
      </c>
      <c r="AD196" s="376"/>
      <c r="AE196" s="376"/>
      <c r="AF196" s="376"/>
      <c r="AG196" s="376">
        <v>861</v>
      </c>
    </row>
    <row r="197" spans="1:33" ht="12.75">
      <c r="A197" s="195"/>
      <c r="B197" s="195"/>
      <c r="C197" s="195"/>
      <c r="D197" s="195"/>
      <c r="E197" s="417"/>
      <c r="F197" s="253"/>
      <c r="G197" s="253"/>
      <c r="H197" s="253"/>
      <c r="I197" s="253"/>
      <c r="J197" s="195"/>
      <c r="K197" s="195"/>
      <c r="L197" s="253"/>
      <c r="M197" s="253"/>
      <c r="N197" s="400"/>
      <c r="O197" s="400"/>
      <c r="P197" s="253"/>
      <c r="Q197" s="400"/>
      <c r="R197" s="195"/>
      <c r="S197" s="195"/>
      <c r="T197" s="400"/>
      <c r="U197" s="400"/>
      <c r="V197" s="400"/>
      <c r="W197" s="400"/>
      <c r="X197" s="400"/>
      <c r="Y197" s="400"/>
      <c r="Z197" s="400"/>
      <c r="AA197" s="400"/>
      <c r="AB197" s="400"/>
      <c r="AC197" s="400"/>
      <c r="AD197" s="400"/>
      <c r="AE197" s="400"/>
      <c r="AF197" s="400"/>
      <c r="AG197" s="400"/>
    </row>
    <row r="198" spans="1:33" ht="12.75">
      <c r="A198" s="195"/>
      <c r="B198" s="195"/>
      <c r="C198" s="195"/>
      <c r="D198" s="195"/>
      <c r="E198" s="417"/>
      <c r="F198" s="253"/>
      <c r="G198" s="253"/>
      <c r="H198" s="253"/>
      <c r="I198" s="253"/>
      <c r="J198" s="195"/>
      <c r="K198" s="195"/>
      <c r="L198" s="253"/>
      <c r="M198" s="253"/>
      <c r="N198" s="400"/>
      <c r="O198" s="400"/>
      <c r="P198" s="253"/>
      <c r="Q198" s="400"/>
      <c r="R198" s="195"/>
      <c r="S198" s="195"/>
      <c r="T198" s="400"/>
      <c r="U198" s="400"/>
      <c r="V198" s="400"/>
      <c r="W198" s="400"/>
      <c r="X198" s="400"/>
      <c r="Y198" s="400"/>
      <c r="Z198" s="400"/>
      <c r="AA198" s="400"/>
      <c r="AB198" s="400"/>
      <c r="AC198" s="400"/>
      <c r="AD198" s="400"/>
      <c r="AE198" s="400"/>
      <c r="AF198" s="400"/>
      <c r="AG198" s="400"/>
    </row>
    <row r="199" spans="1:33" ht="12.75">
      <c r="A199" s="183"/>
      <c r="B199" s="352" t="s">
        <v>136</v>
      </c>
      <c r="C199" s="183"/>
      <c r="D199" s="183"/>
      <c r="E199" s="183"/>
      <c r="F199" s="184"/>
      <c r="G199" s="184"/>
      <c r="H199" s="184"/>
      <c r="I199" s="184"/>
      <c r="J199" s="183"/>
      <c r="K199" s="183"/>
      <c r="L199" s="183"/>
      <c r="M199" s="183"/>
      <c r="N199" s="213"/>
      <c r="O199" s="213"/>
      <c r="P199" s="184"/>
      <c r="Q199" s="213"/>
      <c r="R199" s="183"/>
      <c r="S199" s="183"/>
      <c r="T199" s="183"/>
      <c r="U199" s="183"/>
      <c r="V199" s="183"/>
      <c r="W199" s="183"/>
      <c r="X199" s="183"/>
      <c r="Y199" s="213">
        <f aca="true" t="shared" si="32" ref="Y199:Y206">W199-X199</f>
        <v>0</v>
      </c>
      <c r="Z199" s="213">
        <f aca="true" t="shared" si="33" ref="Z199:Z206">Y199*45%</f>
        <v>0</v>
      </c>
      <c r="AA199" s="213"/>
      <c r="AB199" s="213"/>
      <c r="AC199" s="213"/>
      <c r="AD199" s="213"/>
      <c r="AE199" s="213"/>
      <c r="AF199" s="213"/>
      <c r="AG199" s="213"/>
    </row>
    <row r="200" spans="1:33" ht="12.75">
      <c r="A200" s="380">
        <v>146</v>
      </c>
      <c r="B200" s="380" t="s">
        <v>98</v>
      </c>
      <c r="C200" s="380"/>
      <c r="D200" s="380" t="s">
        <v>33</v>
      </c>
      <c r="E200" s="381" t="s">
        <v>338</v>
      </c>
      <c r="F200" s="382" t="s">
        <v>339</v>
      </c>
      <c r="G200" s="382" t="s">
        <v>340</v>
      </c>
      <c r="H200" s="382">
        <v>1</v>
      </c>
      <c r="I200" s="382" t="s">
        <v>30</v>
      </c>
      <c r="J200" s="380"/>
      <c r="K200" s="380">
        <v>4023000</v>
      </c>
      <c r="L200" s="382">
        <f aca="true" t="shared" si="34" ref="L200:L205">K200*1.0829</f>
        <v>4356506.7</v>
      </c>
      <c r="M200" s="382">
        <f aca="true" t="shared" si="35" ref="M200:M205">CEILING(L200*1.03,1000)</f>
        <v>4488000</v>
      </c>
      <c r="N200" s="382">
        <v>4993000</v>
      </c>
      <c r="O200" s="382">
        <v>8200000</v>
      </c>
      <c r="P200" s="382">
        <f aca="true" t="shared" si="36" ref="P200:P205">CEILING(N200*1.12,1000)</f>
        <v>5593000</v>
      </c>
      <c r="Q200" s="376">
        <f aca="true" t="shared" si="37" ref="Q200:Q205">O200-P200</f>
        <v>2607000</v>
      </c>
      <c r="R200" s="380">
        <f aca="true" t="shared" si="38" ref="R200:R205">Q200*0.38</f>
        <v>990660</v>
      </c>
      <c r="S200" s="380">
        <f aca="true" t="shared" si="39" ref="S200:S205">P200+R200</f>
        <v>6583660</v>
      </c>
      <c r="T200" s="376" t="e">
        <f>CEILING(#REF!*1.06,1000)</f>
        <v>#REF!</v>
      </c>
      <c r="U200" s="376" t="s">
        <v>267</v>
      </c>
      <c r="V200" s="376" t="s">
        <v>297</v>
      </c>
      <c r="W200" s="376">
        <v>13158000</v>
      </c>
      <c r="X200" s="376">
        <v>11057000</v>
      </c>
      <c r="Y200" s="376">
        <f t="shared" si="32"/>
        <v>2101000</v>
      </c>
      <c r="Z200" s="376">
        <f t="shared" si="33"/>
        <v>945450</v>
      </c>
      <c r="AA200" s="376">
        <f aca="true" t="shared" si="40" ref="AA200:AA206">SUM(X200,Z200)</f>
        <v>12002450</v>
      </c>
      <c r="AB200" s="376">
        <f aca="true" t="shared" si="41" ref="AB200:AB205">ROUNDUP(AA200,-3)</f>
        <v>12003000</v>
      </c>
      <c r="AC200" s="376">
        <v>1465</v>
      </c>
      <c r="AD200" s="376"/>
      <c r="AE200" s="376"/>
      <c r="AF200" s="376"/>
      <c r="AG200" s="376">
        <v>1569</v>
      </c>
    </row>
    <row r="201" spans="1:33" ht="12.75">
      <c r="A201" s="380">
        <v>147</v>
      </c>
      <c r="B201" s="380" t="s">
        <v>114</v>
      </c>
      <c r="C201" s="380"/>
      <c r="D201" s="384"/>
      <c r="E201" s="381" t="s">
        <v>338</v>
      </c>
      <c r="F201" s="382" t="s">
        <v>339</v>
      </c>
      <c r="G201" s="382" t="s">
        <v>340</v>
      </c>
      <c r="H201" s="382">
        <v>1</v>
      </c>
      <c r="I201" s="385" t="s">
        <v>30</v>
      </c>
      <c r="J201" s="380"/>
      <c r="K201" s="380">
        <v>3556000</v>
      </c>
      <c r="L201" s="382">
        <f t="shared" si="34"/>
        <v>3850792.4</v>
      </c>
      <c r="M201" s="382">
        <f t="shared" si="35"/>
        <v>3967000</v>
      </c>
      <c r="N201" s="376">
        <v>4993000</v>
      </c>
      <c r="O201" s="376">
        <v>5593000</v>
      </c>
      <c r="P201" s="382">
        <f t="shared" si="36"/>
        <v>5593000</v>
      </c>
      <c r="Q201" s="376">
        <f t="shared" si="37"/>
        <v>0</v>
      </c>
      <c r="R201" s="380">
        <f t="shared" si="38"/>
        <v>0</v>
      </c>
      <c r="S201" s="380">
        <f t="shared" si="39"/>
        <v>5593000</v>
      </c>
      <c r="T201" s="376">
        <v>5593000</v>
      </c>
      <c r="U201" s="376" t="s">
        <v>267</v>
      </c>
      <c r="V201" s="376" t="s">
        <v>297</v>
      </c>
      <c r="W201" s="376">
        <v>13158000</v>
      </c>
      <c r="X201" s="376">
        <v>11057000</v>
      </c>
      <c r="Y201" s="376">
        <f t="shared" si="32"/>
        <v>2101000</v>
      </c>
      <c r="Z201" s="376">
        <f t="shared" si="33"/>
        <v>945450</v>
      </c>
      <c r="AA201" s="376">
        <f t="shared" si="40"/>
        <v>12002450</v>
      </c>
      <c r="AB201" s="376">
        <f t="shared" si="41"/>
        <v>12003000</v>
      </c>
      <c r="AC201" s="376">
        <v>1465</v>
      </c>
      <c r="AD201" s="376"/>
      <c r="AE201" s="376"/>
      <c r="AF201" s="376"/>
      <c r="AG201" s="376">
        <v>1569</v>
      </c>
    </row>
    <row r="202" spans="1:33" ht="12.75">
      <c r="A202" s="380">
        <v>148</v>
      </c>
      <c r="B202" s="380" t="s">
        <v>102</v>
      </c>
      <c r="C202" s="380"/>
      <c r="D202" s="380"/>
      <c r="E202" s="381" t="s">
        <v>338</v>
      </c>
      <c r="F202" s="382" t="s">
        <v>339</v>
      </c>
      <c r="G202" s="382" t="s">
        <v>340</v>
      </c>
      <c r="H202" s="382">
        <v>1</v>
      </c>
      <c r="I202" s="382" t="s">
        <v>30</v>
      </c>
      <c r="J202" s="380"/>
      <c r="K202" s="380">
        <v>2799000</v>
      </c>
      <c r="L202" s="382">
        <f t="shared" si="34"/>
        <v>3031037.1</v>
      </c>
      <c r="M202" s="382">
        <f t="shared" si="35"/>
        <v>3122000</v>
      </c>
      <c r="N202" s="376">
        <v>3834000</v>
      </c>
      <c r="O202" s="376">
        <v>6707000</v>
      </c>
      <c r="P202" s="382">
        <f t="shared" si="36"/>
        <v>4295000</v>
      </c>
      <c r="Q202" s="376">
        <f t="shared" si="37"/>
        <v>2412000</v>
      </c>
      <c r="R202" s="380">
        <f t="shared" si="38"/>
        <v>916560</v>
      </c>
      <c r="S202" s="380">
        <f t="shared" si="39"/>
        <v>5211560</v>
      </c>
      <c r="T202" s="376" t="e">
        <f>CEILING(#REF!*1.06,1000)</f>
        <v>#REF!</v>
      </c>
      <c r="U202" s="376" t="s">
        <v>271</v>
      </c>
      <c r="V202" s="376" t="s">
        <v>290</v>
      </c>
      <c r="W202" s="376">
        <v>10675000</v>
      </c>
      <c r="X202" s="376">
        <v>8970000</v>
      </c>
      <c r="Y202" s="376">
        <f t="shared" si="32"/>
        <v>1705000</v>
      </c>
      <c r="Z202" s="376">
        <f t="shared" si="33"/>
        <v>767250</v>
      </c>
      <c r="AA202" s="376">
        <f t="shared" si="40"/>
        <v>9737250</v>
      </c>
      <c r="AB202" s="376">
        <f t="shared" si="41"/>
        <v>9738000</v>
      </c>
      <c r="AC202" s="376">
        <v>1313</v>
      </c>
      <c r="AD202" s="376"/>
      <c r="AE202" s="376"/>
      <c r="AF202" s="376"/>
      <c r="AG202" s="376">
        <v>1569</v>
      </c>
    </row>
    <row r="203" spans="1:33" ht="12.75">
      <c r="A203" s="380">
        <v>149</v>
      </c>
      <c r="B203" s="380" t="s">
        <v>116</v>
      </c>
      <c r="C203" s="380"/>
      <c r="D203" s="380"/>
      <c r="E203" s="381" t="s">
        <v>572</v>
      </c>
      <c r="F203" s="382" t="s">
        <v>353</v>
      </c>
      <c r="G203" s="382" t="s">
        <v>340</v>
      </c>
      <c r="H203" s="382">
        <v>1</v>
      </c>
      <c r="I203" s="382" t="s">
        <v>552</v>
      </c>
      <c r="J203" s="380"/>
      <c r="K203" s="380">
        <v>2857000</v>
      </c>
      <c r="L203" s="382">
        <f t="shared" si="34"/>
        <v>3093845.3</v>
      </c>
      <c r="M203" s="382">
        <f t="shared" si="35"/>
        <v>3187000</v>
      </c>
      <c r="N203" s="376">
        <v>3546000</v>
      </c>
      <c r="O203" s="376">
        <v>7405000</v>
      </c>
      <c r="P203" s="382">
        <f t="shared" si="36"/>
        <v>3972000</v>
      </c>
      <c r="Q203" s="376">
        <f t="shared" si="37"/>
        <v>3433000</v>
      </c>
      <c r="R203" s="380">
        <f t="shared" si="38"/>
        <v>1304540</v>
      </c>
      <c r="S203" s="380">
        <f t="shared" si="39"/>
        <v>5276540</v>
      </c>
      <c r="T203" s="376" t="e">
        <f>CEILING(#REF!*1.06,1000)</f>
        <v>#REF!</v>
      </c>
      <c r="U203" s="376" t="s">
        <v>253</v>
      </c>
      <c r="V203" s="376" t="s">
        <v>298</v>
      </c>
      <c r="W203" s="376">
        <v>11289000</v>
      </c>
      <c r="X203" s="376">
        <v>9902000</v>
      </c>
      <c r="Y203" s="376">
        <f t="shared" si="32"/>
        <v>1387000</v>
      </c>
      <c r="Z203" s="376">
        <f t="shared" si="33"/>
        <v>624150</v>
      </c>
      <c r="AA203" s="376">
        <f t="shared" si="40"/>
        <v>10526150</v>
      </c>
      <c r="AB203" s="376">
        <f t="shared" si="41"/>
        <v>10527000</v>
      </c>
      <c r="AC203" s="376">
        <v>1258</v>
      </c>
      <c r="AD203" s="376"/>
      <c r="AE203" s="376"/>
      <c r="AF203" s="376"/>
      <c r="AG203" s="376">
        <v>1347</v>
      </c>
    </row>
    <row r="204" spans="1:33" ht="12.75">
      <c r="A204" s="380">
        <v>150</v>
      </c>
      <c r="B204" s="380" t="s">
        <v>115</v>
      </c>
      <c r="C204" s="380"/>
      <c r="D204" s="380"/>
      <c r="E204" s="381" t="s">
        <v>346</v>
      </c>
      <c r="F204" s="382" t="s">
        <v>345</v>
      </c>
      <c r="G204" s="382" t="s">
        <v>340</v>
      </c>
      <c r="H204" s="382">
        <v>1</v>
      </c>
      <c r="I204" s="382" t="s">
        <v>553</v>
      </c>
      <c r="J204" s="380"/>
      <c r="K204" s="380">
        <v>2624000</v>
      </c>
      <c r="L204" s="382">
        <f t="shared" si="34"/>
        <v>2841529.6</v>
      </c>
      <c r="M204" s="382">
        <f t="shared" si="35"/>
        <v>2927000</v>
      </c>
      <c r="N204" s="376">
        <v>3257000</v>
      </c>
      <c r="O204" s="376">
        <v>4532000</v>
      </c>
      <c r="P204" s="382">
        <f t="shared" si="36"/>
        <v>3648000</v>
      </c>
      <c r="Q204" s="376">
        <f t="shared" si="37"/>
        <v>884000</v>
      </c>
      <c r="R204" s="380">
        <f t="shared" si="38"/>
        <v>335920</v>
      </c>
      <c r="S204" s="380">
        <f t="shared" si="39"/>
        <v>3983920</v>
      </c>
      <c r="T204" s="376" t="e">
        <f>CEILING(#REF!*1.06,1000)</f>
        <v>#REF!</v>
      </c>
      <c r="U204" s="376" t="s">
        <v>255</v>
      </c>
      <c r="V204" s="376" t="s">
        <v>293</v>
      </c>
      <c r="W204" s="376">
        <v>7201000</v>
      </c>
      <c r="X204" s="376">
        <v>6316000</v>
      </c>
      <c r="Y204" s="376">
        <f t="shared" si="32"/>
        <v>885000</v>
      </c>
      <c r="Z204" s="376">
        <f t="shared" si="33"/>
        <v>398250</v>
      </c>
      <c r="AA204" s="376">
        <f t="shared" si="40"/>
        <v>6714250</v>
      </c>
      <c r="AB204" s="376">
        <f t="shared" si="41"/>
        <v>6715000</v>
      </c>
      <c r="AC204" s="376">
        <v>804</v>
      </c>
      <c r="AD204" s="376"/>
      <c r="AE204" s="376"/>
      <c r="AF204" s="376"/>
      <c r="AG204" s="376">
        <v>861</v>
      </c>
    </row>
    <row r="205" spans="1:33" ht="12.75">
      <c r="A205" s="380">
        <v>151</v>
      </c>
      <c r="B205" s="380" t="s">
        <v>119</v>
      </c>
      <c r="C205" s="380"/>
      <c r="D205" s="380"/>
      <c r="E205" s="381" t="s">
        <v>346</v>
      </c>
      <c r="F205" s="382" t="s">
        <v>345</v>
      </c>
      <c r="G205" s="382" t="s">
        <v>340</v>
      </c>
      <c r="H205" s="382">
        <v>1</v>
      </c>
      <c r="I205" s="382" t="s">
        <v>553</v>
      </c>
      <c r="J205" s="380"/>
      <c r="K205" s="380">
        <v>2624000</v>
      </c>
      <c r="L205" s="382">
        <f t="shared" si="34"/>
        <v>2841529.6</v>
      </c>
      <c r="M205" s="382">
        <f t="shared" si="35"/>
        <v>2927000</v>
      </c>
      <c r="N205" s="376">
        <v>3257000</v>
      </c>
      <c r="O205" s="376">
        <v>4532000</v>
      </c>
      <c r="P205" s="382">
        <f t="shared" si="36"/>
        <v>3648000</v>
      </c>
      <c r="Q205" s="376">
        <f t="shared" si="37"/>
        <v>884000</v>
      </c>
      <c r="R205" s="380">
        <f t="shared" si="38"/>
        <v>335920</v>
      </c>
      <c r="S205" s="380">
        <f t="shared" si="39"/>
        <v>3983920</v>
      </c>
      <c r="T205" s="376" t="e">
        <f>CEILING(#REF!*1.06,1000)</f>
        <v>#REF!</v>
      </c>
      <c r="U205" s="376" t="s">
        <v>255</v>
      </c>
      <c r="V205" s="376" t="s">
        <v>293</v>
      </c>
      <c r="W205" s="376">
        <v>7201000</v>
      </c>
      <c r="X205" s="376">
        <v>6316000</v>
      </c>
      <c r="Y205" s="376">
        <f t="shared" si="32"/>
        <v>885000</v>
      </c>
      <c r="Z205" s="376">
        <f t="shared" si="33"/>
        <v>398250</v>
      </c>
      <c r="AA205" s="376">
        <f t="shared" si="40"/>
        <v>6714250</v>
      </c>
      <c r="AB205" s="376">
        <f t="shared" si="41"/>
        <v>6715000</v>
      </c>
      <c r="AC205" s="376">
        <v>804</v>
      </c>
      <c r="AD205" s="376"/>
      <c r="AE205" s="376"/>
      <c r="AF205" s="376"/>
      <c r="AG205" s="376">
        <v>861</v>
      </c>
    </row>
    <row r="206" spans="1:33" ht="12.75">
      <c r="A206" s="380">
        <v>152</v>
      </c>
      <c r="B206" s="281" t="s">
        <v>226</v>
      </c>
      <c r="C206" s="281"/>
      <c r="D206" s="380"/>
      <c r="E206" s="381" t="s">
        <v>338</v>
      </c>
      <c r="F206" s="382" t="s">
        <v>339</v>
      </c>
      <c r="G206" s="382" t="s">
        <v>343</v>
      </c>
      <c r="H206" s="382">
        <v>3</v>
      </c>
      <c r="I206" s="382" t="s">
        <v>30</v>
      </c>
      <c r="J206" s="281"/>
      <c r="K206" s="382"/>
      <c r="L206" s="376"/>
      <c r="M206" s="376"/>
      <c r="N206" s="376"/>
      <c r="O206" s="376"/>
      <c r="P206" s="380"/>
      <c r="Q206" s="380"/>
      <c r="R206" s="380"/>
      <c r="S206" s="376"/>
      <c r="T206" s="380">
        <v>4134000</v>
      </c>
      <c r="U206" s="376" t="s">
        <v>274</v>
      </c>
      <c r="V206" s="376" t="s">
        <v>306</v>
      </c>
      <c r="W206" s="376">
        <v>10675000</v>
      </c>
      <c r="X206" s="376">
        <v>5216000</v>
      </c>
      <c r="Y206" s="376">
        <f t="shared" si="32"/>
        <v>5459000</v>
      </c>
      <c r="Z206" s="376">
        <f t="shared" si="33"/>
        <v>2456550</v>
      </c>
      <c r="AA206" s="376">
        <f t="shared" si="40"/>
        <v>7672550</v>
      </c>
      <c r="AB206" s="376">
        <v>7257000</v>
      </c>
      <c r="AC206" s="376">
        <v>887</v>
      </c>
      <c r="AD206" s="376"/>
      <c r="AE206" s="376"/>
      <c r="AF206" s="376"/>
      <c r="AG206" s="376">
        <v>950</v>
      </c>
    </row>
    <row r="207" spans="1:33" ht="12.75">
      <c r="A207" s="380">
        <v>153</v>
      </c>
      <c r="B207" s="380" t="s">
        <v>502</v>
      </c>
      <c r="C207" s="380"/>
      <c r="D207" s="384"/>
      <c r="E207" s="381" t="s">
        <v>338</v>
      </c>
      <c r="F207" s="382" t="s">
        <v>339</v>
      </c>
      <c r="G207" s="382" t="s">
        <v>525</v>
      </c>
      <c r="H207" s="382">
        <v>3</v>
      </c>
      <c r="I207" s="385" t="s">
        <v>30</v>
      </c>
      <c r="J207" s="380"/>
      <c r="K207" s="384"/>
      <c r="L207" s="384"/>
      <c r="M207" s="384"/>
      <c r="N207" s="384"/>
      <c r="O207" s="384"/>
      <c r="P207" s="384"/>
      <c r="Q207" s="384"/>
      <c r="R207" s="384"/>
      <c r="S207" s="384"/>
      <c r="T207" s="384"/>
      <c r="U207" s="384"/>
      <c r="V207" s="384"/>
      <c r="W207" s="384"/>
      <c r="X207" s="384"/>
      <c r="Y207" s="384"/>
      <c r="Z207" s="384"/>
      <c r="AA207" s="384"/>
      <c r="AB207" s="380">
        <v>4375000</v>
      </c>
      <c r="AC207" s="376">
        <v>693</v>
      </c>
      <c r="AD207" s="376"/>
      <c r="AE207" s="376"/>
      <c r="AF207" s="376"/>
      <c r="AG207" s="376">
        <v>742</v>
      </c>
    </row>
    <row r="208" spans="1:33" ht="12.75">
      <c r="A208" s="380">
        <v>154</v>
      </c>
      <c r="B208" s="380" t="s">
        <v>217</v>
      </c>
      <c r="C208" s="380"/>
      <c r="D208" s="384"/>
      <c r="E208" s="381" t="s">
        <v>338</v>
      </c>
      <c r="F208" s="382" t="s">
        <v>339</v>
      </c>
      <c r="G208" s="385" t="s">
        <v>355</v>
      </c>
      <c r="H208" s="385"/>
      <c r="I208" s="385" t="s">
        <v>30</v>
      </c>
      <c r="J208" s="380"/>
      <c r="K208" s="384"/>
      <c r="L208" s="384"/>
      <c r="M208" s="384"/>
      <c r="N208" s="384"/>
      <c r="O208" s="384"/>
      <c r="P208" s="384"/>
      <c r="Q208" s="384"/>
      <c r="R208" s="384"/>
      <c r="S208" s="384"/>
      <c r="T208" s="384"/>
      <c r="U208" s="384"/>
      <c r="V208" s="384"/>
      <c r="W208" s="384"/>
      <c r="X208" s="384"/>
      <c r="Y208" s="384"/>
      <c r="Z208" s="384"/>
      <c r="AA208" s="384"/>
      <c r="AB208" s="380">
        <v>4375000</v>
      </c>
      <c r="AC208" s="376">
        <v>533</v>
      </c>
      <c r="AD208" s="376"/>
      <c r="AE208" s="376"/>
      <c r="AF208" s="376"/>
      <c r="AG208" s="376">
        <v>571</v>
      </c>
    </row>
    <row r="209" spans="1:33" ht="12.75">
      <c r="A209" s="195"/>
      <c r="B209" s="398" t="s">
        <v>594</v>
      </c>
      <c r="C209" s="89"/>
      <c r="D209" s="89"/>
      <c r="E209" s="89"/>
      <c r="F209" s="172"/>
      <c r="G209" s="172"/>
      <c r="H209" s="172"/>
      <c r="I209" s="172"/>
      <c r="J209" s="89"/>
      <c r="K209" s="89"/>
      <c r="L209" s="89"/>
      <c r="M209" s="89"/>
      <c r="N209" s="89"/>
      <c r="O209" s="89"/>
      <c r="P209" s="89"/>
      <c r="Q209" s="89"/>
      <c r="R209" s="89"/>
      <c r="S209" s="89"/>
      <c r="T209" s="89"/>
      <c r="U209" s="89"/>
      <c r="V209" s="89"/>
      <c r="W209" s="89"/>
      <c r="X209" s="89"/>
      <c r="Y209" s="89"/>
      <c r="Z209" s="89"/>
      <c r="AA209" s="89"/>
      <c r="AB209" s="89"/>
      <c r="AC209" s="89"/>
      <c r="AD209" s="399"/>
      <c r="AE209" s="400"/>
      <c r="AF209" s="234"/>
      <c r="AG209" s="401"/>
    </row>
    <row r="210" spans="1:33" ht="12.75">
      <c r="A210" s="281">
        <v>155</v>
      </c>
      <c r="B210" s="281" t="s">
        <v>90</v>
      </c>
      <c r="C210" s="281"/>
      <c r="D210" s="281"/>
      <c r="E210" s="364"/>
      <c r="F210" s="374"/>
      <c r="G210" s="374"/>
      <c r="H210" s="374"/>
      <c r="I210" s="374"/>
      <c r="J210" s="281"/>
      <c r="K210" s="281">
        <v>4023000</v>
      </c>
      <c r="L210" s="365">
        <f>K210*1.0829</f>
        <v>4356506.7</v>
      </c>
      <c r="M210" s="365">
        <f>CEILING(L210*1.03,1000)</f>
        <v>4488000</v>
      </c>
      <c r="N210" s="365">
        <v>4993000</v>
      </c>
      <c r="O210" s="365">
        <v>8200000</v>
      </c>
      <c r="P210" s="365">
        <f>CEILING(N210*1.12,1000)</f>
        <v>5593000</v>
      </c>
      <c r="Q210" s="367">
        <f>O210-P210</f>
        <v>2607000</v>
      </c>
      <c r="R210" s="281">
        <f>Q210*0.38</f>
        <v>990660</v>
      </c>
      <c r="S210" s="281">
        <f>P210+R210</f>
        <v>6583660</v>
      </c>
      <c r="T210" s="281">
        <v>6432000</v>
      </c>
      <c r="U210" s="367">
        <f>CEILING(T210*1.06,1000)</f>
        <v>6818000</v>
      </c>
      <c r="V210" s="367"/>
      <c r="W210" s="367"/>
      <c r="X210" s="367"/>
      <c r="Y210" s="367">
        <f>CEILING(U210*1.06,1000)</f>
        <v>7228000</v>
      </c>
      <c r="Z210" s="367"/>
      <c r="AA210" s="367">
        <f>Z210*45%</f>
        <v>0</v>
      </c>
      <c r="AB210" s="367">
        <v>7228000</v>
      </c>
      <c r="AC210" s="367">
        <v>8042000</v>
      </c>
      <c r="AD210" s="375" t="s">
        <v>593</v>
      </c>
      <c r="AE210" s="367" t="s">
        <v>551</v>
      </c>
      <c r="AF210" s="367" t="s">
        <v>30</v>
      </c>
      <c r="AG210" s="367">
        <v>1420</v>
      </c>
    </row>
    <row r="211" spans="1:33" ht="12.75">
      <c r="A211" s="380">
        <v>156</v>
      </c>
      <c r="B211" s="380" t="s">
        <v>481</v>
      </c>
      <c r="C211" s="380"/>
      <c r="D211" s="380"/>
      <c r="E211" s="381"/>
      <c r="F211" s="382"/>
      <c r="G211" s="382"/>
      <c r="H211" s="382"/>
      <c r="I211" s="382"/>
      <c r="J211" s="380"/>
      <c r="K211" s="380"/>
      <c r="L211" s="382"/>
      <c r="M211" s="382"/>
      <c r="N211" s="376"/>
      <c r="O211" s="376"/>
      <c r="P211" s="382"/>
      <c r="Q211" s="376"/>
      <c r="R211" s="380"/>
      <c r="S211" s="380"/>
      <c r="T211" s="376"/>
      <c r="U211" s="376"/>
      <c r="V211" s="376"/>
      <c r="W211" s="376"/>
      <c r="X211" s="376"/>
      <c r="Y211" s="376"/>
      <c r="Z211" s="376"/>
      <c r="AA211" s="376"/>
      <c r="AB211" s="376">
        <v>5044000</v>
      </c>
      <c r="AC211" s="376">
        <v>1160</v>
      </c>
      <c r="AD211" s="381" t="s">
        <v>592</v>
      </c>
      <c r="AE211" s="376" t="s">
        <v>551</v>
      </c>
      <c r="AF211" s="376" t="s">
        <v>552</v>
      </c>
      <c r="AG211" s="376">
        <v>1243</v>
      </c>
    </row>
    <row r="212" spans="1:33" ht="12.75">
      <c r="A212" s="380">
        <v>157</v>
      </c>
      <c r="B212" s="364" t="s">
        <v>217</v>
      </c>
      <c r="C212" s="364"/>
      <c r="D212" s="364"/>
      <c r="E212" s="364"/>
      <c r="F212" s="365"/>
      <c r="G212" s="365"/>
      <c r="H212" s="365"/>
      <c r="I212" s="365"/>
      <c r="J212" s="364"/>
      <c r="K212" s="364"/>
      <c r="L212" s="364"/>
      <c r="M212" s="364"/>
      <c r="N212" s="364"/>
      <c r="O212" s="364"/>
      <c r="P212" s="364"/>
      <c r="Q212" s="364"/>
      <c r="R212" s="364"/>
      <c r="S212" s="364"/>
      <c r="T212" s="364"/>
      <c r="U212" s="364"/>
      <c r="V212" s="364"/>
      <c r="W212" s="364"/>
      <c r="X212" s="364"/>
      <c r="Y212" s="364"/>
      <c r="Z212" s="364"/>
      <c r="AA212" s="364"/>
      <c r="AB212" s="364"/>
      <c r="AC212" s="364"/>
      <c r="AD212" s="392" t="s">
        <v>581</v>
      </c>
      <c r="AE212" s="376" t="s">
        <v>339</v>
      </c>
      <c r="AF212" s="367" t="s">
        <v>30</v>
      </c>
      <c r="AG212" s="393">
        <v>1243</v>
      </c>
    </row>
    <row r="213" spans="1:33" ht="24.75" customHeight="1">
      <c r="A213" s="436" t="s">
        <v>596</v>
      </c>
      <c r="B213" s="412"/>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c r="Z213" s="412"/>
      <c r="AA213" s="412"/>
      <c r="AB213" s="412"/>
      <c r="AC213" s="412"/>
      <c r="AD213" s="412"/>
      <c r="AE213" s="412"/>
      <c r="AF213" s="412"/>
      <c r="AG213" s="412"/>
    </row>
    <row r="214" spans="1:33" ht="24.75" customHeight="1">
      <c r="A214" s="396"/>
      <c r="B214" s="397"/>
      <c r="C214" s="397"/>
      <c r="D214" s="397"/>
      <c r="E214" s="397"/>
      <c r="F214" s="402"/>
      <c r="G214" s="397"/>
      <c r="H214" s="397"/>
      <c r="I214" s="397"/>
      <c r="J214" s="397"/>
      <c r="K214" s="397"/>
      <c r="L214" s="397"/>
      <c r="M214" s="397"/>
      <c r="N214" s="397"/>
      <c r="O214" s="397"/>
      <c r="P214" s="397"/>
      <c r="Q214" s="397"/>
      <c r="R214" s="397"/>
      <c r="S214" s="397"/>
      <c r="T214" s="397"/>
      <c r="U214" s="397"/>
      <c r="V214" s="397"/>
      <c r="W214" s="397"/>
      <c r="X214" s="397"/>
      <c r="Y214" s="397"/>
      <c r="Z214" s="397"/>
      <c r="AA214" s="397"/>
      <c r="AB214" s="397"/>
      <c r="AC214" s="397"/>
      <c r="AD214" s="397"/>
      <c r="AE214" s="397"/>
      <c r="AF214" s="397"/>
      <c r="AG214" s="397"/>
    </row>
    <row r="215" spans="1:33" ht="24.75" customHeight="1">
      <c r="A215" s="396"/>
      <c r="B215" s="397"/>
      <c r="C215" s="397"/>
      <c r="D215" s="397"/>
      <c r="E215" s="397"/>
      <c r="F215" s="402"/>
      <c r="G215" s="397"/>
      <c r="H215" s="397"/>
      <c r="I215" s="397"/>
      <c r="J215" s="397"/>
      <c r="K215" s="397"/>
      <c r="L215" s="397"/>
      <c r="M215" s="397"/>
      <c r="N215" s="397"/>
      <c r="O215" s="397"/>
      <c r="P215" s="397"/>
      <c r="Q215" s="397"/>
      <c r="R215" s="397"/>
      <c r="S215" s="397"/>
      <c r="T215" s="397"/>
      <c r="U215" s="397"/>
      <c r="V215" s="397"/>
      <c r="W215" s="397"/>
      <c r="X215" s="397"/>
      <c r="Y215" s="397"/>
      <c r="Z215" s="397"/>
      <c r="AA215" s="397"/>
      <c r="AB215" s="397"/>
      <c r="AC215" s="397"/>
      <c r="AD215" s="397"/>
      <c r="AE215" s="397"/>
      <c r="AF215" s="397"/>
      <c r="AG215" s="397"/>
    </row>
    <row r="216" spans="1:33" ht="24.75" customHeight="1" thickBot="1">
      <c r="A216" s="396"/>
      <c r="B216" s="397"/>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row>
    <row r="217" spans="2:6" ht="14.25">
      <c r="B217" s="403" t="s">
        <v>573</v>
      </c>
      <c r="C217" s="404"/>
      <c r="D217" s="404"/>
      <c r="E217" s="404"/>
      <c r="F217" s="365">
        <v>121</v>
      </c>
    </row>
    <row r="218" spans="2:30" ht="15.75">
      <c r="B218" s="405" t="s">
        <v>574</v>
      </c>
      <c r="C218" s="406"/>
      <c r="D218" s="406"/>
      <c r="E218" s="407"/>
      <c r="F218" s="365">
        <v>15</v>
      </c>
      <c r="AD218" s="411" t="s">
        <v>597</v>
      </c>
    </row>
    <row r="219" spans="2:30" ht="15.75">
      <c r="B219" s="405" t="s">
        <v>575</v>
      </c>
      <c r="C219" s="406"/>
      <c r="D219" s="406"/>
      <c r="E219" s="407"/>
      <c r="F219" s="365">
        <v>106</v>
      </c>
      <c r="AD219" s="411"/>
    </row>
    <row r="220" spans="2:30" ht="15.75">
      <c r="B220" s="405" t="s">
        <v>576</v>
      </c>
      <c r="C220" s="406"/>
      <c r="D220" s="406"/>
      <c r="E220" s="407"/>
      <c r="F220" s="365">
        <v>1</v>
      </c>
      <c r="AD220" s="411" t="s">
        <v>247</v>
      </c>
    </row>
    <row r="221" spans="2:6" ht="14.25">
      <c r="B221" s="405" t="s">
        <v>577</v>
      </c>
      <c r="C221" s="406"/>
      <c r="D221" s="406"/>
      <c r="E221" s="407"/>
      <c r="F221" s="365">
        <v>32</v>
      </c>
    </row>
    <row r="222" spans="2:5" ht="15" thickBot="1">
      <c r="B222" s="408"/>
      <c r="C222" s="408"/>
      <c r="D222" s="408"/>
      <c r="E222" s="408"/>
    </row>
    <row r="223" spans="2:6" ht="15.75" thickBot="1">
      <c r="B223" s="409" t="s">
        <v>578</v>
      </c>
      <c r="C223" s="410"/>
      <c r="D223" s="410"/>
      <c r="E223" s="410"/>
      <c r="F223" s="390">
        <v>154</v>
      </c>
    </row>
  </sheetData>
  <mergeCells count="4">
    <mergeCell ref="C10:E10"/>
    <mergeCell ref="F10:F12"/>
    <mergeCell ref="J10:AD10"/>
    <mergeCell ref="A213:AG213"/>
  </mergeCells>
  <printOptions/>
  <pageMargins left="0.35433070866141736" right="0.15748031496062992" top="0.1968503937007874" bottom="0" header="0.5118110236220472" footer="0.5118110236220472"/>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codeName="Sheet2"/>
  <dimension ref="A1:AM59"/>
  <sheetViews>
    <sheetView workbookViewId="0" topLeftCell="A1">
      <selection activeCell="B14" sqref="B14"/>
    </sheetView>
  </sheetViews>
  <sheetFormatPr defaultColWidth="9.140625" defaultRowHeight="12.75"/>
  <cols>
    <col min="1" max="1" width="5.00390625" style="3" customWidth="1"/>
    <col min="2" max="2" width="33.7109375" style="3" bestFit="1" customWidth="1"/>
    <col min="3" max="3" width="4.7109375" style="5" bestFit="1" customWidth="1"/>
    <col min="4" max="4" width="13.7109375" style="5" bestFit="1" customWidth="1"/>
    <col min="5" max="5" width="6.8515625" style="5" bestFit="1" customWidth="1"/>
    <col min="6" max="6" width="14.8515625" style="3" bestFit="1" customWidth="1"/>
    <col min="7" max="7" width="19.8515625" style="26" bestFit="1" customWidth="1"/>
    <col min="8" max="10" width="12.421875" style="3" hidden="1" customWidth="1"/>
    <col min="11" max="11" width="3.421875" style="3" hidden="1" customWidth="1"/>
    <col min="12" max="12" width="0.2890625" style="3" hidden="1" customWidth="1"/>
    <col min="13" max="16" width="12.421875" style="3" hidden="1" customWidth="1"/>
    <col min="17" max="17" width="0.42578125" style="3" hidden="1" customWidth="1"/>
    <col min="18" max="18" width="14.57421875" style="3" hidden="1" customWidth="1"/>
    <col min="19" max="19" width="20.421875" style="3" hidden="1" customWidth="1"/>
    <col min="20" max="20" width="21.421875" style="3" hidden="1" customWidth="1"/>
    <col min="21" max="21" width="12.8515625" style="3" hidden="1" customWidth="1"/>
    <col min="22" max="25" width="12.57421875" style="3" hidden="1" customWidth="1"/>
    <col min="26" max="26" width="13.7109375" style="3" hidden="1" customWidth="1"/>
    <col min="27" max="27" width="13.7109375" style="3" customWidth="1"/>
    <col min="28" max="28" width="11.28125" style="184" customWidth="1"/>
    <col min="29" max="29" width="10.421875" style="184" customWidth="1"/>
    <col min="30" max="30" width="15.57421875" style="3" customWidth="1"/>
    <col min="31" max="31" width="8.421875" style="3" customWidth="1"/>
    <col min="32" max="34" width="11.28125" style="3" customWidth="1"/>
    <col min="35" max="35" width="12.421875" style="3" customWidth="1"/>
    <col min="36" max="39" width="9.140625" style="3" customWidth="1"/>
  </cols>
  <sheetData>
    <row r="1" spans="1:35" ht="12.75">
      <c r="A1" s="4" t="s">
        <v>0</v>
      </c>
      <c r="B1" s="4"/>
      <c r="C1" s="21"/>
      <c r="D1" s="21"/>
      <c r="E1" s="21"/>
      <c r="F1" s="4"/>
      <c r="AB1" s="231"/>
      <c r="AC1" s="231"/>
      <c r="AF1" s="5"/>
      <c r="AG1" s="5"/>
      <c r="AH1" s="5"/>
      <c r="AI1" s="5"/>
    </row>
    <row r="2" spans="1:35" ht="12.75">
      <c r="A2" s="3" t="s">
        <v>213</v>
      </c>
      <c r="G2" s="89"/>
      <c r="AB2" s="5"/>
      <c r="AC2" s="231"/>
      <c r="AF2" s="5"/>
      <c r="AG2" s="5"/>
      <c r="AH2" s="5"/>
      <c r="AI2" s="5"/>
    </row>
    <row r="3" spans="28:35" ht="12.75">
      <c r="AB3" s="231"/>
      <c r="AC3" s="231"/>
      <c r="AE3" s="90"/>
      <c r="AF3" s="90"/>
      <c r="AG3" s="90"/>
      <c r="AH3" s="90"/>
      <c r="AI3" s="90"/>
    </row>
    <row r="4" spans="2:35" ht="12.75">
      <c r="B4" s="92"/>
      <c r="C4" s="21"/>
      <c r="D4" s="21"/>
      <c r="E4" s="21"/>
      <c r="F4" s="92"/>
      <c r="G4" s="92" t="s">
        <v>1</v>
      </c>
      <c r="H4" s="92"/>
      <c r="I4" s="92"/>
      <c r="J4" s="92"/>
      <c r="K4" s="92"/>
      <c r="L4" s="92"/>
      <c r="M4" s="92"/>
      <c r="N4" s="92"/>
      <c r="O4" s="92"/>
      <c r="P4" s="92"/>
      <c r="Q4" s="92"/>
      <c r="R4" s="92"/>
      <c r="S4" s="92"/>
      <c r="T4" s="92"/>
      <c r="U4" s="92"/>
      <c r="V4" s="92"/>
      <c r="W4" s="92"/>
      <c r="X4" s="92"/>
      <c r="Y4" s="92"/>
      <c r="Z4" s="92"/>
      <c r="AA4" s="92"/>
      <c r="AB4" s="182"/>
      <c r="AC4" s="182"/>
      <c r="AD4" s="92"/>
      <c r="AE4" s="92"/>
      <c r="AF4" s="92"/>
      <c r="AG4" s="92"/>
      <c r="AH4" s="92"/>
      <c r="AI4" s="92"/>
    </row>
    <row r="5" spans="1:35" ht="12.75">
      <c r="A5" s="92"/>
      <c r="B5" s="92"/>
      <c r="C5" s="21"/>
      <c r="D5" s="21"/>
      <c r="E5" s="21"/>
      <c r="F5" s="92"/>
      <c r="G5" s="92"/>
      <c r="H5" s="92"/>
      <c r="I5" s="92"/>
      <c r="J5" s="92"/>
      <c r="K5" s="92"/>
      <c r="L5" s="92"/>
      <c r="M5" s="92"/>
      <c r="N5" s="92"/>
      <c r="O5" s="92"/>
      <c r="P5" s="92"/>
      <c r="Q5" s="92"/>
      <c r="R5" s="92"/>
      <c r="S5" s="92"/>
      <c r="T5" s="92"/>
      <c r="U5" s="92"/>
      <c r="V5" s="92"/>
      <c r="W5" s="92"/>
      <c r="X5" s="92"/>
      <c r="Y5" s="92"/>
      <c r="Z5" s="92"/>
      <c r="AA5" s="92"/>
      <c r="AB5" s="182"/>
      <c r="AC5" s="182"/>
      <c r="AD5" s="92"/>
      <c r="AE5" s="92"/>
      <c r="AF5" s="92"/>
      <c r="AG5" s="92"/>
      <c r="AH5" s="92"/>
      <c r="AI5" s="92"/>
    </row>
    <row r="6" spans="7:39" ht="13.5" thickBot="1">
      <c r="G6" s="3"/>
      <c r="AD6" s="26" t="s">
        <v>493</v>
      </c>
      <c r="AL6"/>
      <c r="AM6"/>
    </row>
    <row r="7" spans="1:39" s="39" customFormat="1" ht="13.5" thickBot="1">
      <c r="A7" s="32" t="s">
        <v>4</v>
      </c>
      <c r="B7" s="418" t="s">
        <v>5</v>
      </c>
      <c r="C7" s="419"/>
      <c r="D7" s="419"/>
      <c r="E7" s="419"/>
      <c r="F7" s="413"/>
      <c r="G7" s="153" t="s">
        <v>8</v>
      </c>
      <c r="H7" s="35" t="s">
        <v>17</v>
      </c>
      <c r="I7" s="72" t="s">
        <v>17</v>
      </c>
      <c r="J7" s="72" t="s">
        <v>17</v>
      </c>
      <c r="K7" s="72" t="s">
        <v>17</v>
      </c>
      <c r="L7" s="72" t="s">
        <v>17</v>
      </c>
      <c r="M7" s="72" t="s">
        <v>17</v>
      </c>
      <c r="N7" s="72" t="s">
        <v>169</v>
      </c>
      <c r="O7" s="72" t="s">
        <v>173</v>
      </c>
      <c r="P7" s="72" t="s">
        <v>177</v>
      </c>
      <c r="Q7" s="72" t="s">
        <v>17</v>
      </c>
      <c r="R7" s="134" t="s">
        <v>17</v>
      </c>
      <c r="S7" s="97" t="s">
        <v>276</v>
      </c>
      <c r="T7" s="97" t="s">
        <v>276</v>
      </c>
      <c r="U7" s="88" t="s">
        <v>167</v>
      </c>
      <c r="V7" s="33" t="s">
        <v>245</v>
      </c>
      <c r="W7" s="88" t="s">
        <v>169</v>
      </c>
      <c r="X7" s="88" t="s">
        <v>318</v>
      </c>
      <c r="Y7" s="8" t="s">
        <v>167</v>
      </c>
      <c r="Z7" s="8" t="s">
        <v>167</v>
      </c>
      <c r="AA7" s="8" t="s">
        <v>167</v>
      </c>
      <c r="AB7" s="192" t="s">
        <v>18</v>
      </c>
      <c r="AC7" s="192" t="s">
        <v>21</v>
      </c>
      <c r="AD7" s="36" t="s">
        <v>22</v>
      </c>
      <c r="AE7" s="418" t="s">
        <v>24</v>
      </c>
      <c r="AF7" s="419"/>
      <c r="AG7" s="414" t="s">
        <v>450</v>
      </c>
      <c r="AH7" s="415"/>
      <c r="AI7" s="37" t="s">
        <v>22</v>
      </c>
      <c r="AJ7" s="38"/>
      <c r="AK7" s="38"/>
      <c r="AL7" s="38"/>
      <c r="AM7" s="38"/>
    </row>
    <row r="8" spans="1:39" s="39" customFormat="1" ht="13.5" thickBot="1">
      <c r="A8" s="40"/>
      <c r="B8" s="34" t="s">
        <v>6</v>
      </c>
      <c r="C8" s="34"/>
      <c r="D8" s="34"/>
      <c r="E8" s="34"/>
      <c r="F8" s="34" t="s">
        <v>7</v>
      </c>
      <c r="G8" s="154"/>
      <c r="H8" s="42"/>
      <c r="I8" s="73"/>
      <c r="J8" s="73"/>
      <c r="K8" s="73"/>
      <c r="L8" s="73" t="s">
        <v>176</v>
      </c>
      <c r="M8" s="73" t="s">
        <v>174</v>
      </c>
      <c r="N8" s="73"/>
      <c r="O8" s="73" t="s">
        <v>168</v>
      </c>
      <c r="P8" s="73" t="s">
        <v>168</v>
      </c>
      <c r="Q8" s="73"/>
      <c r="R8" s="73"/>
      <c r="S8" s="13" t="s">
        <v>277</v>
      </c>
      <c r="T8" s="13" t="s">
        <v>277</v>
      </c>
      <c r="U8" s="13" t="s">
        <v>170</v>
      </c>
      <c r="V8" s="41" t="s">
        <v>246</v>
      </c>
      <c r="W8" s="13" t="s">
        <v>316</v>
      </c>
      <c r="X8" s="13" t="s">
        <v>168</v>
      </c>
      <c r="Y8" s="13" t="s">
        <v>168</v>
      </c>
      <c r="Z8" s="13" t="s">
        <v>168</v>
      </c>
      <c r="AA8" s="13"/>
      <c r="AB8" s="202" t="s">
        <v>19</v>
      </c>
      <c r="AC8" s="202" t="s">
        <v>20</v>
      </c>
      <c r="AD8" s="41" t="s">
        <v>23</v>
      </c>
      <c r="AE8" s="36" t="s">
        <v>25</v>
      </c>
      <c r="AF8" s="270" t="s">
        <v>26</v>
      </c>
      <c r="AG8" s="416" t="s">
        <v>451</v>
      </c>
      <c r="AH8" s="437"/>
      <c r="AI8" s="43" t="s">
        <v>27</v>
      </c>
      <c r="AJ8" s="38"/>
      <c r="AK8" s="38"/>
      <c r="AL8" s="38"/>
      <c r="AM8" s="38"/>
    </row>
    <row r="9" spans="1:39" s="39" customFormat="1" ht="13.5" thickBot="1">
      <c r="A9" s="44"/>
      <c r="B9" s="45"/>
      <c r="C9" s="47" t="s">
        <v>335</v>
      </c>
      <c r="D9" s="47" t="s">
        <v>336</v>
      </c>
      <c r="E9" s="47" t="s">
        <v>337</v>
      </c>
      <c r="F9" s="45"/>
      <c r="G9" s="155"/>
      <c r="H9" s="45"/>
      <c r="I9" s="74"/>
      <c r="J9" s="74"/>
      <c r="K9" s="74"/>
      <c r="L9" s="74" t="s">
        <v>172</v>
      </c>
      <c r="M9" s="74" t="s">
        <v>175</v>
      </c>
      <c r="N9" s="74"/>
      <c r="O9" s="74" t="s">
        <v>172</v>
      </c>
      <c r="P9" s="74" t="s">
        <v>172</v>
      </c>
      <c r="Q9" s="74"/>
      <c r="R9" s="74"/>
      <c r="S9" s="74"/>
      <c r="T9" s="128" t="s">
        <v>281</v>
      </c>
      <c r="U9" s="128">
        <v>2005</v>
      </c>
      <c r="V9" s="47" t="s">
        <v>251</v>
      </c>
      <c r="W9" s="128" t="s">
        <v>317</v>
      </c>
      <c r="X9" s="128"/>
      <c r="Y9" s="128">
        <v>2005</v>
      </c>
      <c r="Z9" s="128">
        <v>2005</v>
      </c>
      <c r="AA9" s="128"/>
      <c r="AB9" s="206"/>
      <c r="AC9" s="232">
        <v>0.15</v>
      </c>
      <c r="AD9" s="45"/>
      <c r="AE9" s="101"/>
      <c r="AF9" s="102"/>
      <c r="AG9" s="267" t="s">
        <v>25</v>
      </c>
      <c r="AH9" s="267" t="s">
        <v>26</v>
      </c>
      <c r="AI9" s="102"/>
      <c r="AJ9" s="38"/>
      <c r="AK9" s="38"/>
      <c r="AL9" s="38"/>
      <c r="AM9" s="38"/>
    </row>
    <row r="10" spans="1:39" s="39" customFormat="1" ht="12.75">
      <c r="A10" s="38"/>
      <c r="B10" s="38"/>
      <c r="C10" s="75"/>
      <c r="D10" s="75"/>
      <c r="E10" s="75"/>
      <c r="F10" s="38"/>
      <c r="G10" s="89"/>
      <c r="H10" s="38"/>
      <c r="I10" s="89"/>
      <c r="J10" s="89"/>
      <c r="K10" s="89"/>
      <c r="L10" s="89"/>
      <c r="M10" s="89"/>
      <c r="N10" s="89"/>
      <c r="O10" s="89"/>
      <c r="P10" s="89"/>
      <c r="Q10" s="89"/>
      <c r="R10" s="89"/>
      <c r="S10" s="89"/>
      <c r="T10" s="89"/>
      <c r="U10" s="89"/>
      <c r="V10" s="89"/>
      <c r="W10" s="89"/>
      <c r="X10" s="89"/>
      <c r="Y10" s="89"/>
      <c r="Z10" s="89"/>
      <c r="AA10" s="89"/>
      <c r="AB10" s="253"/>
      <c r="AC10" s="233"/>
      <c r="AD10" s="38"/>
      <c r="AE10" s="38"/>
      <c r="AF10" s="38"/>
      <c r="AG10" s="38"/>
      <c r="AH10" s="38"/>
      <c r="AI10" s="38"/>
      <c r="AJ10" s="38"/>
      <c r="AK10" s="38"/>
      <c r="AL10" s="38"/>
      <c r="AM10" s="38"/>
    </row>
    <row r="11" spans="1:35" ht="12.75">
      <c r="A11" s="3">
        <v>34</v>
      </c>
      <c r="B11" s="138" t="s">
        <v>338</v>
      </c>
      <c r="C11" s="66" t="s">
        <v>339</v>
      </c>
      <c r="D11" s="66" t="s">
        <v>340</v>
      </c>
      <c r="E11" s="66">
        <v>1</v>
      </c>
      <c r="F11" s="3" t="s">
        <v>214</v>
      </c>
      <c r="G11" s="26" t="s">
        <v>29</v>
      </c>
      <c r="H11" s="3">
        <v>4023000</v>
      </c>
      <c r="I11" s="66">
        <f>H11*1.0829</f>
        <v>4356506.7</v>
      </c>
      <c r="J11" s="66">
        <f>CEILING(I11*1.03,1000)</f>
        <v>4488000</v>
      </c>
      <c r="K11" s="81">
        <v>5571000</v>
      </c>
      <c r="L11" s="81">
        <v>8200000</v>
      </c>
      <c r="M11" s="81">
        <f>CEILING(K11*1.12,1000)</f>
        <v>6240000</v>
      </c>
      <c r="N11" s="81">
        <f>L11-M11</f>
        <v>1960000</v>
      </c>
      <c r="O11" s="3">
        <f>N11*0.38</f>
        <v>744800</v>
      </c>
      <c r="P11" s="3">
        <f>M11+O11</f>
        <v>6984800</v>
      </c>
      <c r="Q11" s="3">
        <v>8200000</v>
      </c>
      <c r="R11" s="81">
        <f>CEILING(Q11*1.06,1000)</f>
        <v>8692000</v>
      </c>
      <c r="S11" s="81" t="s">
        <v>267</v>
      </c>
      <c r="T11" s="81" t="s">
        <v>283</v>
      </c>
      <c r="U11" s="81">
        <v>13158000</v>
      </c>
      <c r="V11" s="81">
        <v>11057000</v>
      </c>
      <c r="W11" s="81">
        <f aca="true" t="shared" si="0" ref="W11:W24">U11-V11</f>
        <v>2101000</v>
      </c>
      <c r="X11" s="81">
        <f aca="true" t="shared" si="1" ref="X11:X39">W11*45%</f>
        <v>945450</v>
      </c>
      <c r="Y11" s="81">
        <f>SUM(V11,X11)</f>
        <v>12002450</v>
      </c>
      <c r="Z11" s="81">
        <f>ROUNDUP(Y11,-3)</f>
        <v>12003000</v>
      </c>
      <c r="AA11" s="81">
        <v>1465</v>
      </c>
      <c r="AB11" s="184">
        <f>AA11*50%</f>
        <v>732.5</v>
      </c>
      <c r="AC11" s="184">
        <f>(AA11+AB11)*15%</f>
        <v>329.625</v>
      </c>
      <c r="AD11" s="26">
        <f>SUM(AA11:AC11)</f>
        <v>2527.125</v>
      </c>
      <c r="AE11" s="82">
        <v>0.25</v>
      </c>
      <c r="AF11" s="25">
        <f>AD11*AE11</f>
        <v>631.78125</v>
      </c>
      <c r="AG11" s="25"/>
      <c r="AH11" s="25"/>
      <c r="AI11" s="25">
        <f>SUM(AD11,AF11)</f>
        <v>3158.90625</v>
      </c>
    </row>
    <row r="12" spans="22:27" ht="12.75">
      <c r="V12" s="81"/>
      <c r="W12" s="81">
        <f t="shared" si="0"/>
        <v>0</v>
      </c>
      <c r="X12" s="81">
        <f t="shared" si="1"/>
        <v>0</v>
      </c>
      <c r="Y12" s="81"/>
      <c r="Z12" s="81"/>
      <c r="AA12" s="81"/>
    </row>
    <row r="13" spans="2:35" ht="12.75">
      <c r="B13" s="3" t="s">
        <v>341</v>
      </c>
      <c r="I13" s="66"/>
      <c r="J13" s="66"/>
      <c r="K13" s="81"/>
      <c r="L13" s="81"/>
      <c r="M13" s="81"/>
      <c r="N13" s="81"/>
      <c r="V13" s="81"/>
      <c r="W13" s="81">
        <f t="shared" si="0"/>
        <v>0</v>
      </c>
      <c r="X13" s="81">
        <f t="shared" si="1"/>
        <v>0</v>
      </c>
      <c r="Y13" s="81"/>
      <c r="Z13" s="81"/>
      <c r="AA13" s="81"/>
      <c r="AD13" s="25"/>
      <c r="AE13" s="82"/>
      <c r="AF13" s="25"/>
      <c r="AG13" s="25"/>
      <c r="AH13" s="25"/>
      <c r="AI13" s="25"/>
    </row>
    <row r="14" spans="1:35" ht="12.75">
      <c r="A14" s="3">
        <v>35</v>
      </c>
      <c r="B14" s="138" t="s">
        <v>342</v>
      </c>
      <c r="C14" s="66" t="s">
        <v>339</v>
      </c>
      <c r="D14" s="66" t="s">
        <v>340</v>
      </c>
      <c r="E14" s="66">
        <v>1</v>
      </c>
      <c r="F14" s="3" t="s">
        <v>33</v>
      </c>
      <c r="G14" s="26" t="s">
        <v>216</v>
      </c>
      <c r="H14" s="3">
        <v>4023000</v>
      </c>
      <c r="I14" s="66">
        <f>H14*1.0829</f>
        <v>4356506.7</v>
      </c>
      <c r="J14" s="66">
        <f>CEILING(I14*1.03,1000)</f>
        <v>4488000</v>
      </c>
      <c r="K14" s="66">
        <v>5571000</v>
      </c>
      <c r="L14" s="81">
        <v>8200000</v>
      </c>
      <c r="M14" s="81">
        <f>CEILING(K14*1.12,1000)</f>
        <v>6240000</v>
      </c>
      <c r="N14" s="81">
        <f>L14-M14</f>
        <v>1960000</v>
      </c>
      <c r="O14" s="3">
        <f>N14*0.38</f>
        <v>744800</v>
      </c>
      <c r="P14" s="3">
        <f>M14+O14</f>
        <v>6984800</v>
      </c>
      <c r="Q14" s="3">
        <v>8200000</v>
      </c>
      <c r="R14" s="81">
        <f>CEILING(Q14*1.06,1000)</f>
        <v>8692000</v>
      </c>
      <c r="S14" s="81" t="s">
        <v>260</v>
      </c>
      <c r="T14" s="81" t="s">
        <v>284</v>
      </c>
      <c r="U14" s="81">
        <v>13158000</v>
      </c>
      <c r="V14" s="81">
        <v>11057000</v>
      </c>
      <c r="W14" s="81">
        <f t="shared" si="0"/>
        <v>2101000</v>
      </c>
      <c r="X14" s="81">
        <f t="shared" si="1"/>
        <v>945450</v>
      </c>
      <c r="Y14" s="81">
        <f aca="true" t="shared" si="2" ref="Y14:Y21">SUM(V14,X14)</f>
        <v>12002450</v>
      </c>
      <c r="Z14" s="81">
        <f>ROUNDUP(Y14,-3)</f>
        <v>12003000</v>
      </c>
      <c r="AA14" s="81">
        <v>1465</v>
      </c>
      <c r="AB14" s="184">
        <f>AA14*30%</f>
        <v>439.5</v>
      </c>
      <c r="AC14" s="184">
        <f>(AA14+AB14)*15%</f>
        <v>285.675</v>
      </c>
      <c r="AD14" s="26">
        <f>SUM(AA14:AC14)</f>
        <v>2190.175</v>
      </c>
      <c r="AE14" s="20">
        <v>0.1</v>
      </c>
      <c r="AF14" s="25">
        <f>AD14*AE14</f>
        <v>219.01750000000004</v>
      </c>
      <c r="AG14" s="25"/>
      <c r="AH14" s="25"/>
      <c r="AI14" s="25">
        <f>SUM(AD14,AF14)</f>
        <v>2409.1925</v>
      </c>
    </row>
    <row r="15" spans="1:35" ht="12.75">
      <c r="A15" s="3">
        <v>36</v>
      </c>
      <c r="B15" s="138" t="s">
        <v>342</v>
      </c>
      <c r="C15" s="66" t="s">
        <v>339</v>
      </c>
      <c r="D15" s="66" t="s">
        <v>340</v>
      </c>
      <c r="E15" s="66">
        <v>3</v>
      </c>
      <c r="F15" s="54"/>
      <c r="G15" s="26" t="s">
        <v>205</v>
      </c>
      <c r="H15" s="56"/>
      <c r="I15" s="55"/>
      <c r="J15" s="55"/>
      <c r="K15" s="55"/>
      <c r="L15" s="55"/>
      <c r="M15" s="56"/>
      <c r="N15" s="81"/>
      <c r="O15" s="3">
        <v>6707000</v>
      </c>
      <c r="P15" s="81">
        <f>CEILING(O15*1.06,1000)</f>
        <v>7110000</v>
      </c>
      <c r="Q15" s="56"/>
      <c r="R15" s="56">
        <v>7110000</v>
      </c>
      <c r="S15" s="81" t="s">
        <v>273</v>
      </c>
      <c r="T15" s="81" t="s">
        <v>285</v>
      </c>
      <c r="U15" s="81">
        <v>10675000</v>
      </c>
      <c r="V15" s="81">
        <v>8970000</v>
      </c>
      <c r="W15" s="81">
        <f t="shared" si="0"/>
        <v>1705000</v>
      </c>
      <c r="X15" s="81">
        <f t="shared" si="1"/>
        <v>767250</v>
      </c>
      <c r="Y15" s="81">
        <f t="shared" si="2"/>
        <v>9737250</v>
      </c>
      <c r="Z15" s="81">
        <f>ROUNDUP(Y15,-3)</f>
        <v>9738000</v>
      </c>
      <c r="AA15" s="81">
        <v>1190</v>
      </c>
      <c r="AB15" s="271"/>
      <c r="AC15" s="184">
        <f>(AA15+AB15)*15%</f>
        <v>178.5</v>
      </c>
      <c r="AD15" s="26">
        <f aca="true" t="shared" si="3" ref="AD15:AD21">SUM(AA15:AC15)</f>
        <v>1368.5</v>
      </c>
      <c r="AE15" s="20">
        <v>0.25</v>
      </c>
      <c r="AF15" s="25">
        <f>AD15*AE15</f>
        <v>342.125</v>
      </c>
      <c r="AG15" s="25"/>
      <c r="AH15" s="25"/>
      <c r="AI15" s="25">
        <f>SUM(AD15,AF15)</f>
        <v>1710.625</v>
      </c>
    </row>
    <row r="16" spans="1:35" ht="12.75">
      <c r="A16" s="3">
        <v>37</v>
      </c>
      <c r="B16" s="138" t="s">
        <v>342</v>
      </c>
      <c r="C16" s="66" t="s">
        <v>339</v>
      </c>
      <c r="D16" s="66" t="s">
        <v>343</v>
      </c>
      <c r="E16" s="66">
        <v>1</v>
      </c>
      <c r="F16" s="63"/>
      <c r="G16" s="63" t="s">
        <v>133</v>
      </c>
      <c r="H16" s="3">
        <v>3089000</v>
      </c>
      <c r="I16" s="66">
        <f>H16*1.0829</f>
        <v>3345078.1</v>
      </c>
      <c r="J16" s="66">
        <f>CEILING(I16*1.03,1000)</f>
        <v>3446000</v>
      </c>
      <c r="K16" s="66">
        <v>3446000</v>
      </c>
      <c r="L16" s="81">
        <v>6013000</v>
      </c>
      <c r="M16" s="81">
        <v>3446000</v>
      </c>
      <c r="N16" s="81">
        <f aca="true" t="shared" si="4" ref="N16:N21">L16-M16</f>
        <v>2567000</v>
      </c>
      <c r="O16" s="3">
        <f aca="true" t="shared" si="5" ref="O16:O21">N16*0.38</f>
        <v>975460</v>
      </c>
      <c r="P16" s="3">
        <f aca="true" t="shared" si="6" ref="P16:P21">M16+O16</f>
        <v>4421460</v>
      </c>
      <c r="Q16" s="3">
        <v>6013000</v>
      </c>
      <c r="R16" s="81">
        <f>CEILING(Q16*1.06,1000)</f>
        <v>6374000</v>
      </c>
      <c r="S16" s="81" t="s">
        <v>262</v>
      </c>
      <c r="T16" s="81" t="s">
        <v>287</v>
      </c>
      <c r="U16" s="81">
        <v>9569000</v>
      </c>
      <c r="V16" s="81">
        <v>8041000</v>
      </c>
      <c r="W16" s="81">
        <f t="shared" si="0"/>
        <v>1528000</v>
      </c>
      <c r="X16" s="81">
        <f t="shared" si="1"/>
        <v>687600</v>
      </c>
      <c r="Y16" s="81">
        <f t="shared" si="2"/>
        <v>8728600</v>
      </c>
      <c r="Z16" s="81">
        <f>ROUNDUP(Y16,-3)</f>
        <v>8729000</v>
      </c>
      <c r="AA16" s="81">
        <v>1066</v>
      </c>
      <c r="AB16" s="219"/>
      <c r="AC16" s="219"/>
      <c r="AD16" s="26">
        <f t="shared" si="3"/>
        <v>1066</v>
      </c>
      <c r="AE16" s="65">
        <v>0.25</v>
      </c>
      <c r="AF16" s="25">
        <f aca="true" t="shared" si="7" ref="AF16:AF21">AD16*AE16</f>
        <v>266.5</v>
      </c>
      <c r="AG16" s="25"/>
      <c r="AH16" s="25"/>
      <c r="AI16" s="25">
        <f aca="true" t="shared" si="8" ref="AI16:AI21">SUM(AD16,AF16)</f>
        <v>1332.5</v>
      </c>
    </row>
    <row r="17" spans="1:35" ht="12.75">
      <c r="A17" s="3">
        <v>38</v>
      </c>
      <c r="B17" s="138" t="s">
        <v>342</v>
      </c>
      <c r="C17" s="66" t="s">
        <v>339</v>
      </c>
      <c r="D17" s="66" t="s">
        <v>343</v>
      </c>
      <c r="E17" s="66">
        <v>1</v>
      </c>
      <c r="G17" s="26" t="s">
        <v>40</v>
      </c>
      <c r="H17" s="3">
        <v>2603000</v>
      </c>
      <c r="I17" s="66">
        <v>2603000</v>
      </c>
      <c r="J17" s="66">
        <v>2603000</v>
      </c>
      <c r="K17" s="66">
        <v>2603000</v>
      </c>
      <c r="L17" s="81">
        <v>5403000</v>
      </c>
      <c r="M17" s="81">
        <v>2603000</v>
      </c>
      <c r="N17" s="81">
        <f t="shared" si="4"/>
        <v>2800000</v>
      </c>
      <c r="O17" s="3">
        <f t="shared" si="5"/>
        <v>1064000</v>
      </c>
      <c r="P17" s="3">
        <f t="shared" si="6"/>
        <v>3667000</v>
      </c>
      <c r="Q17" s="3">
        <v>5403000</v>
      </c>
      <c r="R17" s="81">
        <f>CEILING(Q17*1.06,1000)</f>
        <v>5728000</v>
      </c>
      <c r="S17" s="81" t="s">
        <v>263</v>
      </c>
      <c r="T17" s="81" t="s">
        <v>288</v>
      </c>
      <c r="U17" s="81">
        <v>8599000</v>
      </c>
      <c r="V17" s="81">
        <v>7226000</v>
      </c>
      <c r="W17" s="81">
        <f t="shared" si="0"/>
        <v>1373000</v>
      </c>
      <c r="X17" s="81">
        <f t="shared" si="1"/>
        <v>617850</v>
      </c>
      <c r="Y17" s="81">
        <f t="shared" si="2"/>
        <v>7843850</v>
      </c>
      <c r="Z17" s="81">
        <f>ROUNDUP(Y17,-3)</f>
        <v>7844000</v>
      </c>
      <c r="AA17" s="81">
        <v>1066</v>
      </c>
      <c r="AD17" s="26">
        <f t="shared" si="3"/>
        <v>1066</v>
      </c>
      <c r="AE17" s="52">
        <v>0.1</v>
      </c>
      <c r="AF17" s="25">
        <f t="shared" si="7"/>
        <v>106.60000000000001</v>
      </c>
      <c r="AG17" s="25"/>
      <c r="AH17" s="25"/>
      <c r="AI17" s="25">
        <f t="shared" si="8"/>
        <v>1172.6</v>
      </c>
    </row>
    <row r="18" spans="1:35" ht="12.75">
      <c r="A18" s="3">
        <v>39</v>
      </c>
      <c r="B18" s="138" t="s">
        <v>342</v>
      </c>
      <c r="C18" s="66" t="s">
        <v>339</v>
      </c>
      <c r="D18" s="66" t="s">
        <v>343</v>
      </c>
      <c r="E18" s="66">
        <v>3</v>
      </c>
      <c r="G18" s="26" t="s">
        <v>217</v>
      </c>
      <c r="H18" s="3">
        <v>3089000</v>
      </c>
      <c r="I18" s="66">
        <f>H18*1.0829</f>
        <v>3345078.1</v>
      </c>
      <c r="J18" s="66">
        <f>CEILING(I18*1.03,1000)</f>
        <v>3446000</v>
      </c>
      <c r="K18" s="66">
        <v>3446000</v>
      </c>
      <c r="L18" s="81">
        <v>6013000</v>
      </c>
      <c r="M18" s="81">
        <v>4295000</v>
      </c>
      <c r="N18" s="81">
        <f t="shared" si="4"/>
        <v>1718000</v>
      </c>
      <c r="O18" s="3">
        <f t="shared" si="5"/>
        <v>652840</v>
      </c>
      <c r="P18" s="3">
        <f t="shared" si="6"/>
        <v>4947840</v>
      </c>
      <c r="Q18" s="3">
        <v>3900000</v>
      </c>
      <c r="R18" s="81">
        <f>CEILING(Q18*1.06,1000)</f>
        <v>4134000</v>
      </c>
      <c r="S18" s="81" t="s">
        <v>261</v>
      </c>
      <c r="T18" s="81" t="s">
        <v>286</v>
      </c>
      <c r="U18" s="81">
        <v>6208000</v>
      </c>
      <c r="V18" s="81">
        <v>5216000</v>
      </c>
      <c r="W18" s="81">
        <f t="shared" si="0"/>
        <v>992000</v>
      </c>
      <c r="X18" s="81">
        <f t="shared" si="1"/>
        <v>446400</v>
      </c>
      <c r="Y18" s="81">
        <f t="shared" si="2"/>
        <v>5662400</v>
      </c>
      <c r="Z18" s="81">
        <v>7258000</v>
      </c>
      <c r="AA18" s="81">
        <v>887</v>
      </c>
      <c r="AD18" s="26">
        <f t="shared" si="3"/>
        <v>887</v>
      </c>
      <c r="AE18" s="52"/>
      <c r="AF18" s="25">
        <f>AD18*AE18</f>
        <v>0</v>
      </c>
      <c r="AG18" s="25"/>
      <c r="AH18" s="25"/>
      <c r="AI18" s="25">
        <f>SUM(AD18,AF18)</f>
        <v>887</v>
      </c>
    </row>
    <row r="19" spans="1:35" ht="12.75">
      <c r="A19" s="3">
        <v>40</v>
      </c>
      <c r="B19" s="138" t="s">
        <v>342</v>
      </c>
      <c r="C19" s="66" t="s">
        <v>339</v>
      </c>
      <c r="D19" s="66" t="s">
        <v>344</v>
      </c>
      <c r="E19" s="66">
        <v>3</v>
      </c>
      <c r="G19" s="26" t="s">
        <v>499</v>
      </c>
      <c r="H19" s="3">
        <v>3089000</v>
      </c>
      <c r="I19" s="66">
        <f>H19*1.0829</f>
        <v>3345078.1</v>
      </c>
      <c r="J19" s="66">
        <f>CEILING(I19*1.03,1000)</f>
        <v>3446000</v>
      </c>
      <c r="K19" s="66">
        <v>4414000</v>
      </c>
      <c r="L19" s="81">
        <v>3900000</v>
      </c>
      <c r="M19" s="81">
        <v>3443000</v>
      </c>
      <c r="N19" s="81">
        <f t="shared" si="4"/>
        <v>457000</v>
      </c>
      <c r="O19" s="3">
        <f t="shared" si="5"/>
        <v>173660</v>
      </c>
      <c r="P19" s="3">
        <f t="shared" si="6"/>
        <v>3616660</v>
      </c>
      <c r="Q19" s="3">
        <v>3900000</v>
      </c>
      <c r="R19" s="81">
        <f>CEILING(Q19*1.06,1000)</f>
        <v>4134000</v>
      </c>
      <c r="S19" s="81" t="s">
        <v>261</v>
      </c>
      <c r="T19" s="81" t="s">
        <v>286</v>
      </c>
      <c r="U19" s="81">
        <v>6208000</v>
      </c>
      <c r="V19" s="81">
        <v>5216000</v>
      </c>
      <c r="W19" s="81">
        <f t="shared" si="0"/>
        <v>992000</v>
      </c>
      <c r="X19" s="81">
        <f t="shared" si="1"/>
        <v>446400</v>
      </c>
      <c r="Y19" s="81">
        <f t="shared" si="2"/>
        <v>5662400</v>
      </c>
      <c r="Z19" s="81">
        <f>ROUNDUP(Y19,-3)</f>
        <v>5663000</v>
      </c>
      <c r="AA19" s="81">
        <v>693</v>
      </c>
      <c r="AD19" s="26">
        <f t="shared" si="3"/>
        <v>693</v>
      </c>
      <c r="AE19" s="52">
        <v>0.15</v>
      </c>
      <c r="AF19" s="25">
        <f t="shared" si="7"/>
        <v>103.95</v>
      </c>
      <c r="AG19" s="25"/>
      <c r="AH19" s="25"/>
      <c r="AI19" s="25">
        <f>SUM(AD19,AF19)</f>
        <v>796.95</v>
      </c>
    </row>
    <row r="20" spans="1:35" ht="12.75">
      <c r="A20" s="3">
        <v>41</v>
      </c>
      <c r="B20" s="138" t="s">
        <v>342</v>
      </c>
      <c r="C20" s="66" t="s">
        <v>339</v>
      </c>
      <c r="D20" s="66" t="s">
        <v>344</v>
      </c>
      <c r="E20" s="66">
        <v>3</v>
      </c>
      <c r="G20" s="26" t="s">
        <v>500</v>
      </c>
      <c r="H20" s="3">
        <v>2624000</v>
      </c>
      <c r="I20" s="66">
        <f>H20*1.0829</f>
        <v>2841529.6</v>
      </c>
      <c r="J20" s="66">
        <f>CEILING(I20*1.03,1000)</f>
        <v>2927000</v>
      </c>
      <c r="K20" s="66">
        <v>3257000</v>
      </c>
      <c r="L20" s="81">
        <v>4532000</v>
      </c>
      <c r="M20" s="81">
        <f>CEILING(K20*1.12,1000)</f>
        <v>3648000</v>
      </c>
      <c r="N20" s="81">
        <f t="shared" si="4"/>
        <v>884000</v>
      </c>
      <c r="O20" s="3">
        <f t="shared" si="5"/>
        <v>335920</v>
      </c>
      <c r="P20" s="3">
        <f t="shared" si="6"/>
        <v>3983920</v>
      </c>
      <c r="Q20" s="3">
        <v>4532000</v>
      </c>
      <c r="R20" s="81">
        <v>4532000</v>
      </c>
      <c r="S20" s="81" t="s">
        <v>255</v>
      </c>
      <c r="T20" s="81" t="s">
        <v>282</v>
      </c>
      <c r="U20" s="81">
        <v>7201000</v>
      </c>
      <c r="V20" s="81">
        <v>6316000</v>
      </c>
      <c r="W20" s="81">
        <f t="shared" si="0"/>
        <v>885000</v>
      </c>
      <c r="X20" s="81">
        <f t="shared" si="1"/>
        <v>398250</v>
      </c>
      <c r="Y20" s="81">
        <f t="shared" si="2"/>
        <v>6714250</v>
      </c>
      <c r="Z20" s="81">
        <v>5663000</v>
      </c>
      <c r="AA20" s="81">
        <v>693</v>
      </c>
      <c r="AD20" s="26">
        <f t="shared" si="3"/>
        <v>693</v>
      </c>
      <c r="AE20" s="20"/>
      <c r="AF20" s="25">
        <f t="shared" si="7"/>
        <v>0</v>
      </c>
      <c r="AG20" s="25"/>
      <c r="AH20" s="25"/>
      <c r="AI20" s="25">
        <f t="shared" si="8"/>
        <v>693</v>
      </c>
    </row>
    <row r="21" spans="1:35" ht="12.75">
      <c r="A21" s="3">
        <v>42</v>
      </c>
      <c r="B21" s="138" t="s">
        <v>346</v>
      </c>
      <c r="C21" s="66" t="s">
        <v>345</v>
      </c>
      <c r="D21" s="66" t="s">
        <v>343</v>
      </c>
      <c r="E21" s="66">
        <v>3</v>
      </c>
      <c r="G21" s="26" t="s">
        <v>217</v>
      </c>
      <c r="H21" s="3">
        <v>2041000</v>
      </c>
      <c r="I21" s="66">
        <f>H21*1.0829</f>
        <v>2210198.9</v>
      </c>
      <c r="J21" s="66">
        <v>2277000</v>
      </c>
      <c r="K21" s="66">
        <v>2534000</v>
      </c>
      <c r="L21" s="81">
        <v>3266000</v>
      </c>
      <c r="M21" s="81">
        <f>CEILING(K21*1.12,1000)</f>
        <v>2839000</v>
      </c>
      <c r="N21" s="81">
        <f t="shared" si="4"/>
        <v>427000</v>
      </c>
      <c r="O21" s="3">
        <f t="shared" si="5"/>
        <v>162260</v>
      </c>
      <c r="P21" s="3">
        <f t="shared" si="6"/>
        <v>3001260</v>
      </c>
      <c r="Q21" s="3">
        <v>3266000</v>
      </c>
      <c r="R21" s="81">
        <f>CEILING(Q21*1.06,1000)</f>
        <v>3462000</v>
      </c>
      <c r="S21" s="81" t="s">
        <v>266</v>
      </c>
      <c r="T21" s="81" t="s">
        <v>295</v>
      </c>
      <c r="U21" s="81">
        <v>5105000</v>
      </c>
      <c r="V21" s="81">
        <v>4478000</v>
      </c>
      <c r="W21" s="81">
        <f t="shared" si="0"/>
        <v>627000</v>
      </c>
      <c r="X21" s="81">
        <f t="shared" si="1"/>
        <v>282150</v>
      </c>
      <c r="Y21" s="81">
        <f t="shared" si="2"/>
        <v>4760150</v>
      </c>
      <c r="Z21" s="81">
        <f>ROUNDUP(Y21,-3)</f>
        <v>4761000</v>
      </c>
      <c r="AA21" s="81">
        <v>515</v>
      </c>
      <c r="AD21" s="26">
        <f t="shared" si="3"/>
        <v>515</v>
      </c>
      <c r="AE21" s="20"/>
      <c r="AF21" s="25">
        <f t="shared" si="7"/>
        <v>0</v>
      </c>
      <c r="AG21" s="25"/>
      <c r="AH21" s="25"/>
      <c r="AI21" s="25">
        <f t="shared" si="8"/>
        <v>515</v>
      </c>
    </row>
    <row r="22" spans="9:35" ht="12.75">
      <c r="I22" s="66"/>
      <c r="J22" s="66"/>
      <c r="K22" s="66"/>
      <c r="L22" s="81"/>
      <c r="M22" s="81"/>
      <c r="N22" s="81"/>
      <c r="R22" s="81"/>
      <c r="S22" s="81"/>
      <c r="T22" s="81"/>
      <c r="U22" s="81"/>
      <c r="V22" s="81"/>
      <c r="W22" s="81">
        <f t="shared" si="0"/>
        <v>0</v>
      </c>
      <c r="X22" s="81">
        <f t="shared" si="1"/>
        <v>0</v>
      </c>
      <c r="Y22" s="81"/>
      <c r="Z22" s="81"/>
      <c r="AA22" s="81"/>
      <c r="AD22" s="54"/>
      <c r="AE22" s="20"/>
      <c r="AI22" s="25"/>
    </row>
    <row r="23" spans="2:35" ht="12.75">
      <c r="B23" s="425" t="s">
        <v>347</v>
      </c>
      <c r="C23" s="425"/>
      <c r="D23" s="425"/>
      <c r="E23" s="425"/>
      <c r="F23" s="425"/>
      <c r="G23" s="425"/>
      <c r="H23" s="425"/>
      <c r="I23" s="425"/>
      <c r="J23" s="425"/>
      <c r="K23" s="425"/>
      <c r="L23" s="85"/>
      <c r="M23" s="81"/>
      <c r="N23" s="81"/>
      <c r="R23" s="81"/>
      <c r="S23" s="81"/>
      <c r="T23" s="81"/>
      <c r="U23" s="81"/>
      <c r="V23" s="81"/>
      <c r="W23" s="81">
        <f t="shared" si="0"/>
        <v>0</v>
      </c>
      <c r="X23" s="81">
        <f t="shared" si="1"/>
        <v>0</v>
      </c>
      <c r="Y23" s="81"/>
      <c r="Z23" s="81"/>
      <c r="AA23" s="81"/>
      <c r="AD23" s="54"/>
      <c r="AI23" s="25"/>
    </row>
    <row r="24" spans="1:35" ht="12.75">
      <c r="A24" s="3">
        <v>43</v>
      </c>
      <c r="B24" s="138" t="s">
        <v>349</v>
      </c>
      <c r="C24" s="66" t="s">
        <v>339</v>
      </c>
      <c r="D24" s="66" t="s">
        <v>340</v>
      </c>
      <c r="E24" s="66">
        <v>1</v>
      </c>
      <c r="F24" s="3" t="s">
        <v>33</v>
      </c>
      <c r="G24" s="26" t="s">
        <v>34</v>
      </c>
      <c r="H24" s="3">
        <v>4023000</v>
      </c>
      <c r="I24" s="66">
        <f>H24*1.0829</f>
        <v>4356506.7</v>
      </c>
      <c r="J24" s="66">
        <f>CEILING(I24*1.03,1000)</f>
        <v>4488000</v>
      </c>
      <c r="K24" s="81">
        <v>4993000</v>
      </c>
      <c r="L24" s="81">
        <v>8200000</v>
      </c>
      <c r="M24" s="81">
        <f>CEILING(K24*1.12,1000)</f>
        <v>5593000</v>
      </c>
      <c r="N24" s="81">
        <f>L24-M24</f>
        <v>2607000</v>
      </c>
      <c r="O24" s="3">
        <f>N24*0.38</f>
        <v>990660</v>
      </c>
      <c r="P24" s="3">
        <f>M24+O24</f>
        <v>6583660</v>
      </c>
      <c r="Q24" s="3">
        <v>8200000</v>
      </c>
      <c r="R24" s="81">
        <f>CEILING(Q24*1.06,1000)</f>
        <v>8692000</v>
      </c>
      <c r="S24" s="81" t="s">
        <v>269</v>
      </c>
      <c r="T24" s="81" t="s">
        <v>289</v>
      </c>
      <c r="U24" s="81">
        <v>13158000</v>
      </c>
      <c r="V24" s="81">
        <v>11057000</v>
      </c>
      <c r="W24" s="81">
        <f t="shared" si="0"/>
        <v>2101000</v>
      </c>
      <c r="X24" s="81">
        <f t="shared" si="1"/>
        <v>945450</v>
      </c>
      <c r="Y24" s="81">
        <f>SUM(V24,X24)</f>
        <v>12002450</v>
      </c>
      <c r="Z24" s="81">
        <f>ROUNDUP(Y24,-3)</f>
        <v>12003000</v>
      </c>
      <c r="AA24" s="81">
        <v>1465</v>
      </c>
      <c r="AB24" s="184">
        <f>AA24*30%</f>
        <v>439.5</v>
      </c>
      <c r="AD24" s="26">
        <f>SUM(AA24:AC24)</f>
        <v>1904.5</v>
      </c>
      <c r="AE24" s="20">
        <v>0.25</v>
      </c>
      <c r="AF24" s="25">
        <f>AD24*AE24</f>
        <v>476.125</v>
      </c>
      <c r="AG24" s="25"/>
      <c r="AH24" s="25"/>
      <c r="AI24" s="25">
        <f>SUM(AD24,AF24)</f>
        <v>2380.625</v>
      </c>
    </row>
    <row r="25" spans="2:35" ht="12.75">
      <c r="B25" s="147" t="s">
        <v>348</v>
      </c>
      <c r="C25" s="66"/>
      <c r="D25" s="66"/>
      <c r="E25" s="66"/>
      <c r="I25" s="66"/>
      <c r="J25" s="66"/>
      <c r="K25" s="81"/>
      <c r="L25" s="81"/>
      <c r="M25" s="81"/>
      <c r="N25" s="81"/>
      <c r="R25" s="81"/>
      <c r="S25" s="81"/>
      <c r="T25" s="81"/>
      <c r="U25" s="81"/>
      <c r="V25" s="81"/>
      <c r="W25" s="81"/>
      <c r="X25" s="81"/>
      <c r="Y25" s="81"/>
      <c r="Z25" s="81"/>
      <c r="AA25" s="81"/>
      <c r="AD25" s="256"/>
      <c r="AE25" s="20"/>
      <c r="AI25" s="25"/>
    </row>
    <row r="26" spans="1:35" ht="12.75">
      <c r="A26" s="3">
        <v>44</v>
      </c>
      <c r="B26" s="139" t="s">
        <v>338</v>
      </c>
      <c r="C26" s="66" t="s">
        <v>339</v>
      </c>
      <c r="D26" s="66" t="s">
        <v>340</v>
      </c>
      <c r="E26" s="66">
        <v>1</v>
      </c>
      <c r="G26" s="26" t="s">
        <v>35</v>
      </c>
      <c r="H26" s="3">
        <v>3089000</v>
      </c>
      <c r="I26" s="66">
        <f>H26*1.0829</f>
        <v>3345078.1</v>
      </c>
      <c r="J26" s="66">
        <f>CEILING(I26*1.03,1000)</f>
        <v>3446000</v>
      </c>
      <c r="K26" s="81">
        <v>4414000</v>
      </c>
      <c r="L26" s="81">
        <v>7405000</v>
      </c>
      <c r="M26" s="81">
        <f>CEILING(K26*1.12,1000)</f>
        <v>4944000</v>
      </c>
      <c r="N26" s="81">
        <f>L26-M26</f>
        <v>2461000</v>
      </c>
      <c r="O26" s="3">
        <f>N26*0.38</f>
        <v>935180</v>
      </c>
      <c r="P26" s="3">
        <f>M26+O26</f>
        <v>5879180</v>
      </c>
      <c r="Q26" s="3">
        <v>7405000</v>
      </c>
      <c r="R26" s="81">
        <f>CEILING(Q26*1.06,1000)</f>
        <v>7850000</v>
      </c>
      <c r="S26" s="81" t="s">
        <v>270</v>
      </c>
      <c r="T26" s="81" t="s">
        <v>291</v>
      </c>
      <c r="U26" s="81">
        <v>11784000</v>
      </c>
      <c r="V26" s="81">
        <v>9902000</v>
      </c>
      <c r="W26" s="81">
        <f>U26-V26</f>
        <v>1882000</v>
      </c>
      <c r="X26" s="81">
        <f>W26*45%</f>
        <v>846900</v>
      </c>
      <c r="Y26" s="81">
        <f>SUM(V26,X26)</f>
        <v>10748900</v>
      </c>
      <c r="Z26" s="81">
        <f>ROUNDUP(Y26,-3)</f>
        <v>10749000</v>
      </c>
      <c r="AA26" s="81">
        <v>1465</v>
      </c>
      <c r="AD26" s="26">
        <f>SUM(AA26:AC26)</f>
        <v>1465</v>
      </c>
      <c r="AE26" s="76">
        <v>0.1</v>
      </c>
      <c r="AF26" s="25">
        <f aca="true" t="shared" si="9" ref="AF26:AF36">AD26*AE26</f>
        <v>146.5</v>
      </c>
      <c r="AG26" s="25"/>
      <c r="AH26" s="25"/>
      <c r="AI26" s="25">
        <f aca="true" t="shared" si="10" ref="AI26:AI36">SUM(AD26,AF26)</f>
        <v>1611.5</v>
      </c>
    </row>
    <row r="27" spans="1:35" ht="12.75">
      <c r="A27" s="3">
        <v>45</v>
      </c>
      <c r="B27" s="138" t="s">
        <v>338</v>
      </c>
      <c r="C27" s="66" t="s">
        <v>339</v>
      </c>
      <c r="D27" s="66" t="s">
        <v>340</v>
      </c>
      <c r="E27" s="66">
        <v>3</v>
      </c>
      <c r="G27" s="26" t="s">
        <v>215</v>
      </c>
      <c r="K27" s="81">
        <v>3834000</v>
      </c>
      <c r="L27" s="81">
        <v>6707000</v>
      </c>
      <c r="M27" s="81">
        <v>3966000</v>
      </c>
      <c r="N27" s="81">
        <f>L27-M27</f>
        <v>2741000</v>
      </c>
      <c r="O27" s="3">
        <f>N27*0.38</f>
        <v>1041580</v>
      </c>
      <c r="P27" s="3">
        <f>M27+O27</f>
        <v>5007580</v>
      </c>
      <c r="Q27" s="3">
        <v>6707000</v>
      </c>
      <c r="R27" s="81">
        <v>6707000</v>
      </c>
      <c r="S27" s="81" t="s">
        <v>271</v>
      </c>
      <c r="T27" s="81" t="s">
        <v>290</v>
      </c>
      <c r="U27" s="81">
        <v>10675000</v>
      </c>
      <c r="V27" s="81">
        <v>8970000</v>
      </c>
      <c r="W27" s="81">
        <f>U27-V27</f>
        <v>1705000</v>
      </c>
      <c r="X27" s="81">
        <f>W27*45%</f>
        <v>767250</v>
      </c>
      <c r="Y27" s="81">
        <f>SUM(V27,X27)</f>
        <v>9737250</v>
      </c>
      <c r="Z27" s="81">
        <f>ROUNDUP(Y27,-3)</f>
        <v>9738000</v>
      </c>
      <c r="AA27" s="81">
        <v>1190</v>
      </c>
      <c r="AD27" s="26">
        <f aca="true" t="shared" si="11" ref="AD27:AD36">SUM(AA27:AC27)</f>
        <v>1190</v>
      </c>
      <c r="AE27" s="76">
        <v>0.1</v>
      </c>
      <c r="AF27" s="25">
        <f t="shared" si="9"/>
        <v>119</v>
      </c>
      <c r="AG27" s="25"/>
      <c r="AH27" s="25"/>
      <c r="AI27" s="25">
        <f t="shared" si="10"/>
        <v>1309</v>
      </c>
    </row>
    <row r="28" spans="1:35" ht="12.75">
      <c r="A28" s="3">
        <v>46</v>
      </c>
      <c r="B28" s="138" t="s">
        <v>350</v>
      </c>
      <c r="C28" s="66" t="s">
        <v>339</v>
      </c>
      <c r="D28" s="66" t="s">
        <v>343</v>
      </c>
      <c r="E28" s="66">
        <v>1</v>
      </c>
      <c r="G28" s="26" t="s">
        <v>36</v>
      </c>
      <c r="H28" s="3">
        <v>2717000</v>
      </c>
      <c r="I28" s="66">
        <v>2717000</v>
      </c>
      <c r="J28" s="66">
        <v>2717000</v>
      </c>
      <c r="K28" s="81">
        <v>2979000</v>
      </c>
      <c r="L28" s="81">
        <v>6013000</v>
      </c>
      <c r="M28" s="81">
        <f>CEILING(K28*1.12,1000)</f>
        <v>3337000</v>
      </c>
      <c r="N28" s="81">
        <f>L28-M28</f>
        <v>2676000</v>
      </c>
      <c r="O28" s="3">
        <f>N28*0.38</f>
        <v>1016880</v>
      </c>
      <c r="P28" s="3">
        <f>M28+O28</f>
        <v>4353880</v>
      </c>
      <c r="Q28" s="3">
        <v>6013000</v>
      </c>
      <c r="R28" s="81">
        <f>CEILING(Q28*1.06,1000)</f>
        <v>6374000</v>
      </c>
      <c r="S28" s="81" t="s">
        <v>264</v>
      </c>
      <c r="T28" s="81" t="s">
        <v>307</v>
      </c>
      <c r="U28" s="81">
        <v>9569000</v>
      </c>
      <c r="V28" s="81">
        <v>8041000</v>
      </c>
      <c r="W28" s="81">
        <f>U28-V28</f>
        <v>1528000</v>
      </c>
      <c r="X28" s="81">
        <f>W28*45%</f>
        <v>687600</v>
      </c>
      <c r="Y28" s="81">
        <f>SUM(V28,X28)</f>
        <v>8728600</v>
      </c>
      <c r="Z28" s="81">
        <f>ROUNDUP(Y28,-3)</f>
        <v>8729000</v>
      </c>
      <c r="AA28" s="81">
        <v>1066</v>
      </c>
      <c r="AD28" s="26">
        <f t="shared" si="11"/>
        <v>1066</v>
      </c>
      <c r="AE28" s="20">
        <v>0.15</v>
      </c>
      <c r="AF28" s="25">
        <f t="shared" si="9"/>
        <v>159.9</v>
      </c>
      <c r="AG28" s="25"/>
      <c r="AH28" s="25"/>
      <c r="AI28" s="25">
        <f t="shared" si="10"/>
        <v>1225.9</v>
      </c>
    </row>
    <row r="29" spans="1:35" ht="12.75">
      <c r="A29" s="3">
        <v>47</v>
      </c>
      <c r="B29" s="138" t="s">
        <v>338</v>
      </c>
      <c r="C29" s="66" t="s">
        <v>339</v>
      </c>
      <c r="D29" s="66" t="s">
        <v>343</v>
      </c>
      <c r="E29" s="66">
        <v>2</v>
      </c>
      <c r="G29" s="26" t="s">
        <v>351</v>
      </c>
      <c r="I29" s="66"/>
      <c r="J29" s="66"/>
      <c r="K29" s="81"/>
      <c r="L29" s="81"/>
      <c r="M29" s="81"/>
      <c r="N29" s="81"/>
      <c r="R29" s="81"/>
      <c r="S29" s="81"/>
      <c r="T29" s="81"/>
      <c r="U29" s="81"/>
      <c r="V29" s="81"/>
      <c r="W29" s="81"/>
      <c r="X29" s="81"/>
      <c r="Y29" s="81"/>
      <c r="Z29" s="81">
        <v>7689000</v>
      </c>
      <c r="AA29" s="81">
        <v>958</v>
      </c>
      <c r="AD29" s="26">
        <f t="shared" si="11"/>
        <v>958</v>
      </c>
      <c r="AE29" s="20">
        <v>0.2</v>
      </c>
      <c r="AF29" s="25">
        <f t="shared" si="9"/>
        <v>191.60000000000002</v>
      </c>
      <c r="AG29" s="25"/>
      <c r="AH29" s="25"/>
      <c r="AI29" s="25">
        <f t="shared" si="10"/>
        <v>1149.6</v>
      </c>
    </row>
    <row r="30" spans="1:35" ht="12.75">
      <c r="A30" s="3">
        <v>48</v>
      </c>
      <c r="B30" s="138" t="s">
        <v>408</v>
      </c>
      <c r="C30" s="66" t="s">
        <v>345</v>
      </c>
      <c r="D30" s="66" t="s">
        <v>340</v>
      </c>
      <c r="E30" s="66">
        <v>3</v>
      </c>
      <c r="G30" s="26" t="s">
        <v>391</v>
      </c>
      <c r="I30" s="66"/>
      <c r="J30" s="66"/>
      <c r="K30" s="81"/>
      <c r="L30" s="81"/>
      <c r="M30" s="81"/>
      <c r="N30" s="81"/>
      <c r="R30" s="81"/>
      <c r="S30" s="81"/>
      <c r="T30" s="81"/>
      <c r="U30" s="81"/>
      <c r="V30" s="81"/>
      <c r="W30" s="81"/>
      <c r="X30" s="81"/>
      <c r="Y30" s="81"/>
      <c r="Z30" s="81">
        <v>4897000</v>
      </c>
      <c r="AA30" s="81">
        <v>609</v>
      </c>
      <c r="AD30" s="26">
        <f t="shared" si="11"/>
        <v>609</v>
      </c>
      <c r="AE30" s="20">
        <v>0.25</v>
      </c>
      <c r="AF30" s="25">
        <f t="shared" si="9"/>
        <v>152.25</v>
      </c>
      <c r="AG30" s="25"/>
      <c r="AH30" s="25"/>
      <c r="AI30" s="25">
        <f t="shared" si="10"/>
        <v>761.25</v>
      </c>
    </row>
    <row r="31" spans="1:35" ht="12.75">
      <c r="A31" s="3">
        <v>49</v>
      </c>
      <c r="B31" s="138" t="s">
        <v>346</v>
      </c>
      <c r="C31" s="66" t="s">
        <v>345</v>
      </c>
      <c r="D31" s="66" t="s">
        <v>343</v>
      </c>
      <c r="E31" s="66">
        <v>2</v>
      </c>
      <c r="G31" s="26" t="s">
        <v>37</v>
      </c>
      <c r="I31" s="66"/>
      <c r="J31" s="66"/>
      <c r="K31" s="81"/>
      <c r="L31" s="81"/>
      <c r="M31" s="81"/>
      <c r="N31" s="81"/>
      <c r="R31" s="81"/>
      <c r="S31" s="81"/>
      <c r="T31" s="81"/>
      <c r="U31" s="81"/>
      <c r="V31" s="81"/>
      <c r="W31" s="81"/>
      <c r="X31" s="81"/>
      <c r="Y31" s="81"/>
      <c r="Z31" s="81">
        <v>4240000</v>
      </c>
      <c r="AA31" s="81">
        <v>532</v>
      </c>
      <c r="AD31" s="26">
        <f t="shared" si="11"/>
        <v>532</v>
      </c>
      <c r="AE31" s="20">
        <v>0.1</v>
      </c>
      <c r="AF31" s="25">
        <f t="shared" si="9"/>
        <v>53.2</v>
      </c>
      <c r="AG31" s="268">
        <v>0.1</v>
      </c>
      <c r="AH31" s="25">
        <f>AD31*AG31</f>
        <v>53.2</v>
      </c>
      <c r="AI31" s="25">
        <f>SUM(AD31,AF31,AH31)</f>
        <v>638.4000000000001</v>
      </c>
    </row>
    <row r="32" spans="1:35" ht="12.75">
      <c r="A32" s="3">
        <v>50</v>
      </c>
      <c r="B32" s="138" t="s">
        <v>346</v>
      </c>
      <c r="C32" s="66" t="s">
        <v>345</v>
      </c>
      <c r="D32" s="66" t="s">
        <v>344</v>
      </c>
      <c r="E32" s="66">
        <v>3</v>
      </c>
      <c r="G32" s="26" t="s">
        <v>446</v>
      </c>
      <c r="I32" s="66"/>
      <c r="J32" s="66"/>
      <c r="K32" s="81"/>
      <c r="L32" s="81"/>
      <c r="M32" s="81"/>
      <c r="N32" s="81"/>
      <c r="R32" s="81"/>
      <c r="S32" s="81"/>
      <c r="T32" s="81"/>
      <c r="U32" s="81"/>
      <c r="V32" s="81"/>
      <c r="W32" s="81"/>
      <c r="X32" s="81"/>
      <c r="Y32" s="81"/>
      <c r="Z32" s="81">
        <v>3511000</v>
      </c>
      <c r="AA32" s="81">
        <v>471</v>
      </c>
      <c r="AD32" s="26">
        <f t="shared" si="11"/>
        <v>471</v>
      </c>
      <c r="AE32" s="82"/>
      <c r="AF32" s="25">
        <f t="shared" si="9"/>
        <v>0</v>
      </c>
      <c r="AG32" s="25"/>
      <c r="AH32" s="25"/>
      <c r="AI32" s="25">
        <f t="shared" si="10"/>
        <v>471</v>
      </c>
    </row>
    <row r="33" spans="2:35" ht="12.75">
      <c r="B33" s="147" t="s">
        <v>352</v>
      </c>
      <c r="C33" s="66"/>
      <c r="D33" s="66"/>
      <c r="E33" s="66"/>
      <c r="I33" s="66"/>
      <c r="J33" s="66"/>
      <c r="K33" s="81"/>
      <c r="L33" s="81"/>
      <c r="M33" s="81"/>
      <c r="N33" s="81"/>
      <c r="R33" s="81"/>
      <c r="S33" s="81"/>
      <c r="T33" s="81"/>
      <c r="U33" s="81"/>
      <c r="V33" s="81"/>
      <c r="W33" s="81"/>
      <c r="X33" s="81"/>
      <c r="Y33" s="81"/>
      <c r="Z33" s="81"/>
      <c r="AA33" s="81"/>
      <c r="AD33" s="54"/>
      <c r="AE33" s="20"/>
      <c r="AI33" s="25"/>
    </row>
    <row r="34" spans="1:35" ht="12.75">
      <c r="A34" s="3">
        <v>51</v>
      </c>
      <c r="B34" s="138" t="s">
        <v>354</v>
      </c>
      <c r="C34" s="66" t="s">
        <v>353</v>
      </c>
      <c r="D34" s="66" t="s">
        <v>340</v>
      </c>
      <c r="E34" s="66">
        <v>1</v>
      </c>
      <c r="G34" s="26" t="s">
        <v>38</v>
      </c>
      <c r="H34" s="3">
        <v>2857000</v>
      </c>
      <c r="I34" s="66">
        <f>H34*1.0829</f>
        <v>3093845.3</v>
      </c>
      <c r="J34" s="66">
        <f>CEILING(I34*1.03,1000)</f>
        <v>3187000</v>
      </c>
      <c r="K34" s="66">
        <v>3546000</v>
      </c>
      <c r="L34" s="81">
        <v>7405000</v>
      </c>
      <c r="M34" s="81">
        <f>CEILING(K34*1.12,1000)</f>
        <v>3972000</v>
      </c>
      <c r="N34" s="81">
        <f>L34-M34</f>
        <v>3433000</v>
      </c>
      <c r="O34" s="3">
        <f>N34*0.38</f>
        <v>1304540</v>
      </c>
      <c r="P34" s="3">
        <f>M34+O34</f>
        <v>5276540</v>
      </c>
      <c r="Q34" s="3">
        <v>7405000</v>
      </c>
      <c r="R34" s="81">
        <f>CEILING(Q34*1.06,1000)</f>
        <v>7850000</v>
      </c>
      <c r="S34" s="81" t="s">
        <v>253</v>
      </c>
      <c r="T34" s="81" t="s">
        <v>292</v>
      </c>
      <c r="U34" s="81">
        <v>11289000</v>
      </c>
      <c r="V34" s="81">
        <v>9902000</v>
      </c>
      <c r="W34" s="81">
        <f>U34-V34</f>
        <v>1387000</v>
      </c>
      <c r="X34" s="81">
        <f>W34*45%</f>
        <v>624150</v>
      </c>
      <c r="Y34" s="81">
        <f>SUM(V34,X34)</f>
        <v>10526150</v>
      </c>
      <c r="Z34" s="81">
        <f>ROUNDUP(Y34,-3)</f>
        <v>10527000</v>
      </c>
      <c r="AA34" s="81">
        <v>1258</v>
      </c>
      <c r="AD34" s="26">
        <f t="shared" si="11"/>
        <v>1258</v>
      </c>
      <c r="AE34" s="20">
        <v>0.25</v>
      </c>
      <c r="AF34" s="25">
        <f t="shared" si="9"/>
        <v>314.5</v>
      </c>
      <c r="AG34" s="25"/>
      <c r="AH34" s="25"/>
      <c r="AI34" s="25">
        <f t="shared" si="10"/>
        <v>1572.5</v>
      </c>
    </row>
    <row r="35" spans="1:35" ht="12.75">
      <c r="A35" s="3">
        <v>52</v>
      </c>
      <c r="B35" s="138" t="s">
        <v>338</v>
      </c>
      <c r="C35" s="66" t="s">
        <v>449</v>
      </c>
      <c r="D35" s="66" t="s">
        <v>344</v>
      </c>
      <c r="E35" s="66">
        <v>1</v>
      </c>
      <c r="G35" s="26" t="s">
        <v>39</v>
      </c>
      <c r="H35" s="3">
        <v>2433000</v>
      </c>
      <c r="I35" s="66">
        <f>H35*1.0829</f>
        <v>2634695.6999999997</v>
      </c>
      <c r="J35" s="66">
        <f>CEILING(I35*1.03,1000)</f>
        <v>2714000</v>
      </c>
      <c r="K35" s="66">
        <v>3040000</v>
      </c>
      <c r="L35" s="81">
        <v>3916000</v>
      </c>
      <c r="M35" s="81">
        <f>CEILING(K35*1.12,1000)</f>
        <v>3405000</v>
      </c>
      <c r="N35" s="81">
        <f>L35-M35</f>
        <v>511000</v>
      </c>
      <c r="O35" s="3">
        <f>N35*0.38</f>
        <v>194180</v>
      </c>
      <c r="P35" s="3">
        <f>M35+O35</f>
        <v>3599180</v>
      </c>
      <c r="Q35" s="3">
        <v>3916000</v>
      </c>
      <c r="R35" s="81">
        <f>CEILING(Q35*1.06,1000)</f>
        <v>4151000</v>
      </c>
      <c r="S35" s="81" t="s">
        <v>265</v>
      </c>
      <c r="T35" s="81" t="s">
        <v>294</v>
      </c>
      <c r="U35" s="81">
        <v>6223000</v>
      </c>
      <c r="V35" s="81">
        <v>5458000</v>
      </c>
      <c r="W35" s="81">
        <f>U35-V35</f>
        <v>765000</v>
      </c>
      <c r="X35" s="81">
        <f>W35*45%</f>
        <v>344250</v>
      </c>
      <c r="Y35" s="81">
        <f>SUM(V35,X35)</f>
        <v>5802250</v>
      </c>
      <c r="Z35" s="81">
        <f>ROUNDUP(Y35,-3)</f>
        <v>5803000</v>
      </c>
      <c r="AA35" s="81">
        <v>799</v>
      </c>
      <c r="AD35" s="26">
        <f t="shared" si="11"/>
        <v>799</v>
      </c>
      <c r="AE35" s="20">
        <v>0.2</v>
      </c>
      <c r="AF35" s="25">
        <f t="shared" si="9"/>
        <v>159.8</v>
      </c>
      <c r="AG35" s="25"/>
      <c r="AH35" s="25"/>
      <c r="AI35" s="25">
        <f t="shared" si="10"/>
        <v>958.8</v>
      </c>
    </row>
    <row r="36" spans="1:35" ht="12.75">
      <c r="A36" s="3">
        <v>53</v>
      </c>
      <c r="B36" s="138" t="s">
        <v>338</v>
      </c>
      <c r="C36" s="66" t="s">
        <v>339</v>
      </c>
      <c r="D36" s="66" t="s">
        <v>355</v>
      </c>
      <c r="E36" s="66"/>
      <c r="G36" s="26" t="s">
        <v>503</v>
      </c>
      <c r="I36" s="66"/>
      <c r="J36" s="66"/>
      <c r="K36" s="81"/>
      <c r="L36" s="81"/>
      <c r="M36" s="81"/>
      <c r="N36" s="81"/>
      <c r="R36" s="81"/>
      <c r="S36" s="81"/>
      <c r="T36" s="81"/>
      <c r="U36" s="81"/>
      <c r="V36" s="81"/>
      <c r="W36" s="81"/>
      <c r="X36" s="81"/>
      <c r="Y36" s="81"/>
      <c r="Z36" s="81">
        <v>4375000</v>
      </c>
      <c r="AA36" s="81">
        <v>533</v>
      </c>
      <c r="AD36" s="26">
        <f t="shared" si="11"/>
        <v>533</v>
      </c>
      <c r="AE36" s="20">
        <v>0.2</v>
      </c>
      <c r="AF36" s="25">
        <f t="shared" si="9"/>
        <v>106.60000000000001</v>
      </c>
      <c r="AI36" s="25">
        <f t="shared" si="10"/>
        <v>639.6</v>
      </c>
    </row>
    <row r="37" spans="2:35" ht="12.75">
      <c r="B37" s="138"/>
      <c r="C37" s="66"/>
      <c r="D37" s="66"/>
      <c r="E37" s="66"/>
      <c r="I37" s="66"/>
      <c r="J37" s="66"/>
      <c r="K37" s="81"/>
      <c r="L37" s="81"/>
      <c r="M37" s="81"/>
      <c r="N37" s="81"/>
      <c r="R37" s="81"/>
      <c r="S37" s="81"/>
      <c r="T37" s="81"/>
      <c r="U37" s="81"/>
      <c r="V37" s="81"/>
      <c r="W37" s="81"/>
      <c r="X37" s="81"/>
      <c r="Y37" s="81"/>
      <c r="Z37" s="81"/>
      <c r="AA37" s="81"/>
      <c r="AD37" s="54"/>
      <c r="AE37" s="20"/>
      <c r="AI37" s="25"/>
    </row>
    <row r="38" spans="1:39" s="115" customFormat="1" ht="12.75">
      <c r="A38" s="222"/>
      <c r="B38" s="226" t="s">
        <v>356</v>
      </c>
      <c r="C38" s="227"/>
      <c r="D38" s="227"/>
      <c r="E38" s="227"/>
      <c r="F38" s="222"/>
      <c r="G38" s="222"/>
      <c r="H38" s="222"/>
      <c r="I38" s="227"/>
      <c r="J38" s="227"/>
      <c r="K38" s="228"/>
      <c r="L38" s="228"/>
      <c r="M38" s="228"/>
      <c r="N38" s="228"/>
      <c r="O38" s="222"/>
      <c r="P38" s="222"/>
      <c r="Q38" s="222"/>
      <c r="R38" s="228"/>
      <c r="S38" s="228"/>
      <c r="T38" s="228"/>
      <c r="U38" s="228"/>
      <c r="V38" s="228"/>
      <c r="W38" s="228"/>
      <c r="X38" s="228"/>
      <c r="Y38" s="228"/>
      <c r="Z38" s="228"/>
      <c r="AA38" s="81"/>
      <c r="AB38" s="184"/>
      <c r="AC38" s="184"/>
      <c r="AD38" s="120"/>
      <c r="AE38" s="229"/>
      <c r="AF38" s="222"/>
      <c r="AG38" s="222"/>
      <c r="AH38" s="222"/>
      <c r="AI38" s="25"/>
      <c r="AJ38" s="222"/>
      <c r="AK38" s="222"/>
      <c r="AL38" s="222"/>
      <c r="AM38" s="222"/>
    </row>
    <row r="39" spans="1:35" ht="12.75">
      <c r="A39" s="3">
        <v>54</v>
      </c>
      <c r="B39" s="138" t="s">
        <v>349</v>
      </c>
      <c r="C39" s="66" t="s">
        <v>339</v>
      </c>
      <c r="D39" s="66" t="s">
        <v>340</v>
      </c>
      <c r="E39" s="66">
        <v>1</v>
      </c>
      <c r="G39" s="26" t="s">
        <v>41</v>
      </c>
      <c r="H39" s="3">
        <v>3556000</v>
      </c>
      <c r="I39" s="66">
        <f>H39*1.0829</f>
        <v>3850792.4</v>
      </c>
      <c r="J39" s="66">
        <f>CEILING(I39*1.03,1000)</f>
        <v>3967000</v>
      </c>
      <c r="K39" s="66">
        <v>4993000</v>
      </c>
      <c r="L39" s="81">
        <v>8200000</v>
      </c>
      <c r="M39" s="81">
        <f>CEILING(K39*1.12,1000)</f>
        <v>5593000</v>
      </c>
      <c r="N39" s="81">
        <f>L39-M39</f>
        <v>2607000</v>
      </c>
      <c r="O39" s="3">
        <f>N39*0.38</f>
        <v>990660</v>
      </c>
      <c r="P39" s="3">
        <f>M39+O39</f>
        <v>6583660</v>
      </c>
      <c r="Q39" s="3">
        <v>8200000</v>
      </c>
      <c r="R39" s="81">
        <f>CEILING(Q39*1.06,1000)</f>
        <v>8692000</v>
      </c>
      <c r="S39" s="81" t="s">
        <v>267</v>
      </c>
      <c r="T39" s="81" t="s">
        <v>289</v>
      </c>
      <c r="U39" s="81">
        <v>13158000</v>
      </c>
      <c r="V39" s="81">
        <v>11057000</v>
      </c>
      <c r="W39" s="81">
        <f>U39-V39</f>
        <v>2101000</v>
      </c>
      <c r="X39" s="81">
        <f t="shared" si="1"/>
        <v>945450</v>
      </c>
      <c r="Y39" s="81">
        <f>SUM(V39,X39)</f>
        <v>12002450</v>
      </c>
      <c r="Z39" s="81">
        <f>ROUNDUP(Y39,-3)</f>
        <v>12003000</v>
      </c>
      <c r="AA39" s="81">
        <v>1465</v>
      </c>
      <c r="AC39" s="184">
        <f>(AA39+AB39)*15%</f>
        <v>219.75</v>
      </c>
      <c r="AD39" s="26">
        <f>SUM(AA39:AC39)</f>
        <v>1684.75</v>
      </c>
      <c r="AE39" s="20">
        <v>0.25</v>
      </c>
      <c r="AF39" s="25">
        <f>AD39*AE39</f>
        <v>421.1875</v>
      </c>
      <c r="AG39" s="25"/>
      <c r="AH39" s="25"/>
      <c r="AI39" s="25">
        <f>SUM(AD39,AF39)</f>
        <v>2105.9375</v>
      </c>
    </row>
    <row r="40" spans="1:35" ht="12.75">
      <c r="A40" s="3">
        <v>55</v>
      </c>
      <c r="B40" s="138" t="s">
        <v>346</v>
      </c>
      <c r="C40" s="66" t="s">
        <v>345</v>
      </c>
      <c r="D40" s="66" t="s">
        <v>340</v>
      </c>
      <c r="E40" s="66">
        <v>1</v>
      </c>
      <c r="G40" s="26" t="s">
        <v>42</v>
      </c>
      <c r="H40" s="3">
        <v>2624000</v>
      </c>
      <c r="I40" s="66">
        <f>H40*1.0829</f>
        <v>2841529.6</v>
      </c>
      <c r="J40" s="66">
        <f>CEILING(I40*1.03,1000)</f>
        <v>2927000</v>
      </c>
      <c r="K40" s="66">
        <v>3257000</v>
      </c>
      <c r="L40" s="81">
        <v>4532000</v>
      </c>
      <c r="M40" s="81">
        <f>CEILING(K40*1.12,1000)</f>
        <v>3648000</v>
      </c>
      <c r="N40" s="81">
        <f>L40-M40</f>
        <v>884000</v>
      </c>
      <c r="O40" s="3">
        <f>N40*0.38</f>
        <v>335920</v>
      </c>
      <c r="P40" s="3">
        <f>M40+O40</f>
        <v>3983920</v>
      </c>
      <c r="Q40" s="3">
        <v>4532000</v>
      </c>
      <c r="R40" s="81">
        <f>CEILING(Q40*1.06,1000)</f>
        <v>4804000</v>
      </c>
      <c r="S40" s="81" t="s">
        <v>258</v>
      </c>
      <c r="T40" s="81" t="s">
        <v>293</v>
      </c>
      <c r="U40" s="81">
        <v>7201000</v>
      </c>
      <c r="V40" s="81">
        <v>6316000</v>
      </c>
      <c r="W40" s="81">
        <f>U40-V40</f>
        <v>885000</v>
      </c>
      <c r="X40" s="81">
        <f>W40*45%</f>
        <v>398250</v>
      </c>
      <c r="Y40" s="81">
        <f>SUM(V40,X40)</f>
        <v>6714250</v>
      </c>
      <c r="Z40" s="81">
        <f>ROUNDUP(Y40,-3)</f>
        <v>6715000</v>
      </c>
      <c r="AA40" s="81">
        <v>804</v>
      </c>
      <c r="AD40" s="26">
        <f>SUM(AA40:AC40)</f>
        <v>804</v>
      </c>
      <c r="AE40" s="20">
        <v>0.2</v>
      </c>
      <c r="AF40" s="25">
        <f>AD40*AE40</f>
        <v>160.8</v>
      </c>
      <c r="AG40" s="25"/>
      <c r="AH40" s="25"/>
      <c r="AI40" s="25">
        <f>SUM(AD40,AF40)</f>
        <v>964.8</v>
      </c>
    </row>
    <row r="41" spans="1:35" ht="12.75">
      <c r="A41" s="3">
        <v>56</v>
      </c>
      <c r="B41" s="138" t="s">
        <v>346</v>
      </c>
      <c r="C41" s="66" t="s">
        <v>345</v>
      </c>
      <c r="D41" s="66" t="s">
        <v>340</v>
      </c>
      <c r="E41" s="66">
        <v>1</v>
      </c>
      <c r="G41" s="26" t="s">
        <v>43</v>
      </c>
      <c r="H41" s="3">
        <v>2497500</v>
      </c>
      <c r="I41" s="66">
        <v>2497500</v>
      </c>
      <c r="J41" s="66">
        <v>2497500</v>
      </c>
      <c r="K41" s="66">
        <v>2497500</v>
      </c>
      <c r="L41" s="81">
        <v>4532000</v>
      </c>
      <c r="M41" s="81">
        <f>CEILING(K41*1.12,1000)</f>
        <v>2798000</v>
      </c>
      <c r="N41" s="81">
        <f>L41-M41</f>
        <v>1734000</v>
      </c>
      <c r="O41" s="3">
        <f>N41*0.38</f>
        <v>658920</v>
      </c>
      <c r="P41" s="3">
        <f>M41+O41</f>
        <v>3456920</v>
      </c>
      <c r="Q41" s="3">
        <v>4532000</v>
      </c>
      <c r="R41" s="81">
        <f>CEILING(Q41*1.06,1000)</f>
        <v>4804000</v>
      </c>
      <c r="S41" s="81" t="s">
        <v>258</v>
      </c>
      <c r="T41" s="81" t="s">
        <v>293</v>
      </c>
      <c r="U41" s="81">
        <v>7201000</v>
      </c>
      <c r="V41" s="81">
        <v>6316000</v>
      </c>
      <c r="W41" s="81">
        <f>U41-V41</f>
        <v>885000</v>
      </c>
      <c r="X41" s="81">
        <f>W41*45%</f>
        <v>398250</v>
      </c>
      <c r="Y41" s="81">
        <f>SUM(V41,X41)</f>
        <v>6714250</v>
      </c>
      <c r="Z41" s="81">
        <f>ROUNDUP(Y41,-3)</f>
        <v>6715000</v>
      </c>
      <c r="AA41" s="81">
        <v>804</v>
      </c>
      <c r="AD41" s="26">
        <f>SUM(AA41:AC41)</f>
        <v>804</v>
      </c>
      <c r="AE41" s="20">
        <v>0.15</v>
      </c>
      <c r="AF41" s="25">
        <f>AD41*AE41</f>
        <v>120.6</v>
      </c>
      <c r="AG41" s="25"/>
      <c r="AH41" s="25"/>
      <c r="AI41" s="25">
        <f>SUM(AD41,AF41)</f>
        <v>924.6</v>
      </c>
    </row>
    <row r="42" spans="1:35" ht="12.75">
      <c r="A42" s="3">
        <v>57</v>
      </c>
      <c r="B42" s="138" t="s">
        <v>346</v>
      </c>
      <c r="C42" s="66" t="s">
        <v>345</v>
      </c>
      <c r="D42" s="66" t="s">
        <v>343</v>
      </c>
      <c r="E42" s="66">
        <v>1</v>
      </c>
      <c r="G42" s="26" t="s">
        <v>534</v>
      </c>
      <c r="Z42" s="3">
        <v>4489000</v>
      </c>
      <c r="AA42" s="81">
        <v>570</v>
      </c>
      <c r="AC42" s="184">
        <f>(AA42+AB42)*15%</f>
        <v>85.5</v>
      </c>
      <c r="AD42" s="26">
        <f>SUM(AA42:AC42)</f>
        <v>655.5</v>
      </c>
      <c r="AE42" s="20">
        <v>0.1</v>
      </c>
      <c r="AF42" s="25">
        <f>AD42*AE42</f>
        <v>65.55</v>
      </c>
      <c r="AG42" s="25"/>
      <c r="AH42" s="25"/>
      <c r="AI42" s="25">
        <f>SUM(AD42,AF42)</f>
        <v>721.05</v>
      </c>
    </row>
    <row r="43" spans="1:35" ht="12.75">
      <c r="A43" s="3">
        <v>58</v>
      </c>
      <c r="B43" s="138" t="s">
        <v>346</v>
      </c>
      <c r="C43" s="66" t="s">
        <v>345</v>
      </c>
      <c r="D43" s="66" t="s">
        <v>340</v>
      </c>
      <c r="E43" s="66">
        <v>3</v>
      </c>
      <c r="G43" s="26" t="s">
        <v>44</v>
      </c>
      <c r="H43" s="3">
        <v>4023000</v>
      </c>
      <c r="I43" s="66">
        <f>H43*1.0829</f>
        <v>4356506.7</v>
      </c>
      <c r="J43" s="66">
        <f>CEILING(I43*1.03,1000)</f>
        <v>4488000</v>
      </c>
      <c r="K43" s="81">
        <v>4993000</v>
      </c>
      <c r="L43" s="81">
        <v>8200000</v>
      </c>
      <c r="M43" s="81">
        <f>CEILING(K43*1.12,1000)</f>
        <v>5593000</v>
      </c>
      <c r="N43" s="81">
        <f>L43-M43</f>
        <v>2607000</v>
      </c>
      <c r="O43" s="3">
        <f>N43*0.38</f>
        <v>990660</v>
      </c>
      <c r="P43" s="3">
        <f>M43+O43</f>
        <v>6583660</v>
      </c>
      <c r="Q43" s="3">
        <v>8200000</v>
      </c>
      <c r="R43" s="81">
        <f>CEILING(Q43*1.06,1000)</f>
        <v>8692000</v>
      </c>
      <c r="S43" s="81" t="s">
        <v>271</v>
      </c>
      <c r="T43" s="81" t="s">
        <v>290</v>
      </c>
      <c r="U43" s="81">
        <v>10675000</v>
      </c>
      <c r="V43" s="81">
        <v>8970000</v>
      </c>
      <c r="W43" s="81">
        <f>U43-V43</f>
        <v>1705000</v>
      </c>
      <c r="X43" s="81">
        <f>W43*45%</f>
        <v>767250</v>
      </c>
      <c r="Y43" s="81">
        <f>SUM(V43,X43)</f>
        <v>9737250</v>
      </c>
      <c r="Z43" s="81">
        <v>4433000</v>
      </c>
      <c r="AA43" s="81">
        <v>609</v>
      </c>
      <c r="AD43" s="26">
        <f>SUM(AA43:AC43)</f>
        <v>609</v>
      </c>
      <c r="AE43" s="20">
        <v>0.1</v>
      </c>
      <c r="AF43" s="25">
        <f>AD43*AE43</f>
        <v>60.900000000000006</v>
      </c>
      <c r="AG43" s="25"/>
      <c r="AH43" s="25"/>
      <c r="AI43" s="25">
        <f>SUM(AD43,AF43)</f>
        <v>669.9</v>
      </c>
    </row>
    <row r="44" spans="22:27" ht="12.75">
      <c r="V44" s="81"/>
      <c r="W44" s="81">
        <f>U44-V44</f>
        <v>0</v>
      </c>
      <c r="X44" s="81">
        <f>W44*45%</f>
        <v>0</v>
      </c>
      <c r="Y44" s="81"/>
      <c r="Z44" s="81"/>
      <c r="AA44" s="81"/>
    </row>
    <row r="45" spans="2:35" ht="15">
      <c r="B45" s="67" t="s">
        <v>389</v>
      </c>
      <c r="C45" s="146"/>
      <c r="D45" s="146"/>
      <c r="E45" s="146"/>
      <c r="Q45" s="67" t="e">
        <f>SUM(#REF!,#REF!)</f>
        <v>#REF!</v>
      </c>
      <c r="R45" s="67" t="e">
        <f>SUM(#REF!,#REF!)</f>
        <v>#REF!</v>
      </c>
      <c r="S45" s="67"/>
      <c r="T45" s="67"/>
      <c r="U45" s="67"/>
      <c r="V45" s="67" t="e">
        <f>SUM(#REF!,#REF!)</f>
        <v>#REF!</v>
      </c>
      <c r="W45" s="67" t="e">
        <f>SUM(#REF!,#REF!)</f>
        <v>#REF!</v>
      </c>
      <c r="X45" s="67" t="e">
        <f>SUM(#REF!,#REF!)</f>
        <v>#REF!</v>
      </c>
      <c r="Y45" s="67" t="e">
        <f>SUM(#REF!,#REF!)</f>
        <v>#REF!</v>
      </c>
      <c r="Z45" s="67">
        <f>SUM(Z11:Z44)</f>
        <v>190278000</v>
      </c>
      <c r="AA45" s="129">
        <f>SUM(AA11:AA44)</f>
        <v>23638</v>
      </c>
      <c r="AB45" s="129">
        <f aca="true" t="shared" si="12" ref="AB45:AI45">SUM(AB11:AB44)</f>
        <v>1611.5</v>
      </c>
      <c r="AC45" s="129">
        <f t="shared" si="12"/>
        <v>1099.05</v>
      </c>
      <c r="AD45" s="129">
        <f t="shared" si="12"/>
        <v>26348.55</v>
      </c>
      <c r="AE45" s="129">
        <f t="shared" si="12"/>
        <v>3.7000000000000006</v>
      </c>
      <c r="AF45" s="129">
        <f t="shared" si="12"/>
        <v>4378.48625</v>
      </c>
      <c r="AG45" s="129">
        <f t="shared" si="12"/>
        <v>0.1</v>
      </c>
      <c r="AH45" s="129">
        <f t="shared" si="12"/>
        <v>53.2</v>
      </c>
      <c r="AI45" s="129">
        <f t="shared" si="12"/>
        <v>30780.236249999998</v>
      </c>
    </row>
    <row r="46" spans="2:35" ht="15">
      <c r="B46" s="67"/>
      <c r="C46" s="146"/>
      <c r="D46" s="146"/>
      <c r="E46" s="146"/>
      <c r="Q46" s="67"/>
      <c r="R46" s="67"/>
      <c r="S46" s="67"/>
      <c r="T46" s="67"/>
      <c r="U46" s="67"/>
      <c r="V46" s="67"/>
      <c r="W46" s="67"/>
      <c r="X46" s="67"/>
      <c r="Y46" s="67"/>
      <c r="Z46" s="67"/>
      <c r="AA46" s="67"/>
      <c r="AB46" s="182"/>
      <c r="AC46" s="182"/>
      <c r="AD46" s="67"/>
      <c r="AE46" s="67"/>
      <c r="AF46" s="67"/>
      <c r="AG46" s="67"/>
      <c r="AH46" s="67"/>
      <c r="AI46" s="67"/>
    </row>
    <row r="47" spans="2:35" ht="15">
      <c r="B47" s="67"/>
      <c r="C47" s="146"/>
      <c r="D47" s="146"/>
      <c r="E47" s="146"/>
      <c r="Q47" s="67"/>
      <c r="R47" s="67"/>
      <c r="S47" s="67"/>
      <c r="T47" s="67"/>
      <c r="U47" s="67"/>
      <c r="V47" s="67"/>
      <c r="W47" s="67"/>
      <c r="X47" s="67"/>
      <c r="Y47" s="67"/>
      <c r="Z47" s="67"/>
      <c r="AA47" s="67"/>
      <c r="AB47" s="182"/>
      <c r="AC47" s="182"/>
      <c r="AD47" s="67"/>
      <c r="AE47" s="67"/>
      <c r="AF47" s="67"/>
      <c r="AG47" s="67"/>
      <c r="AH47" s="67"/>
      <c r="AI47" s="67"/>
    </row>
    <row r="48" spans="2:5" ht="15">
      <c r="B48" s="67"/>
      <c r="C48" s="146"/>
      <c r="D48" s="146"/>
      <c r="E48" s="146"/>
    </row>
    <row r="49" ht="12.75">
      <c r="G49" s="184" t="s">
        <v>416</v>
      </c>
    </row>
    <row r="50" spans="1:39" s="133" customFormat="1" ht="12.75">
      <c r="A50" s="230"/>
      <c r="B50" s="230"/>
      <c r="C50" s="231"/>
      <c r="D50" s="231"/>
      <c r="E50" s="231"/>
      <c r="F50" s="230"/>
      <c r="G50" s="184" t="s">
        <v>375</v>
      </c>
      <c r="H50" s="230"/>
      <c r="I50" s="230"/>
      <c r="J50" s="230"/>
      <c r="K50" s="230"/>
      <c r="L50" s="230"/>
      <c r="M50" s="230"/>
      <c r="N50" s="230"/>
      <c r="O50" s="230"/>
      <c r="P50" s="230"/>
      <c r="Q50" s="230"/>
      <c r="R50" s="230"/>
      <c r="S50" s="230"/>
      <c r="T50" s="230"/>
      <c r="U50" s="230"/>
      <c r="V50" s="230"/>
      <c r="W50" s="230"/>
      <c r="X50" s="230"/>
      <c r="Y50" s="230"/>
      <c r="Z50" s="230"/>
      <c r="AA50" s="230"/>
      <c r="AB50" s="184"/>
      <c r="AC50" s="272"/>
      <c r="AD50" s="230"/>
      <c r="AE50" s="230"/>
      <c r="AF50" s="230"/>
      <c r="AG50" s="230"/>
      <c r="AH50" s="230"/>
      <c r="AI50" s="230"/>
      <c r="AJ50" s="230"/>
      <c r="AK50" s="230"/>
      <c r="AL50" s="230"/>
      <c r="AM50" s="230"/>
    </row>
    <row r="51" ht="12.75">
      <c r="G51" s="184" t="s">
        <v>71</v>
      </c>
    </row>
    <row r="52" ht="12.75">
      <c r="G52" s="184" t="s">
        <v>320</v>
      </c>
    </row>
    <row r="53" ht="12.75">
      <c r="G53" s="184" t="s">
        <v>321</v>
      </c>
    </row>
    <row r="54" ht="12.75">
      <c r="G54" s="184" t="s">
        <v>376</v>
      </c>
    </row>
    <row r="55" spans="6:27" ht="12.75">
      <c r="F55" s="212" t="s">
        <v>417</v>
      </c>
      <c r="Z55" s="141">
        <f>AI45</f>
        <v>30780.236249999998</v>
      </c>
      <c r="AA55" s="141">
        <f>AI45</f>
        <v>30780.236249999998</v>
      </c>
    </row>
    <row r="56" spans="26:27" ht="12.75">
      <c r="Z56" s="5" t="s">
        <v>390</v>
      </c>
      <c r="AA56" s="5" t="s">
        <v>528</v>
      </c>
    </row>
    <row r="57" ht="12.75">
      <c r="AD57" s="5"/>
    </row>
    <row r="58" spans="7:38" ht="12.75">
      <c r="G58" s="184" t="s">
        <v>227</v>
      </c>
      <c r="AD58" s="5"/>
      <c r="AE58" s="5"/>
      <c r="AF58" s="5"/>
      <c r="AG58" s="5"/>
      <c r="AH58" s="5"/>
      <c r="AI58" s="5"/>
      <c r="AJ58" s="5"/>
      <c r="AK58" s="5"/>
      <c r="AL58" s="5"/>
    </row>
    <row r="59" spans="7:38" ht="12.75">
      <c r="G59" s="184" t="s">
        <v>418</v>
      </c>
      <c r="AD59" s="5"/>
      <c r="AE59" s="5"/>
      <c r="AF59" s="5"/>
      <c r="AG59" s="5"/>
      <c r="AH59" s="5"/>
      <c r="AI59" s="5"/>
      <c r="AJ59" s="5"/>
      <c r="AK59" s="5"/>
      <c r="AL59" s="5"/>
    </row>
  </sheetData>
  <mergeCells count="5">
    <mergeCell ref="B23:K23"/>
    <mergeCell ref="B7:F7"/>
    <mergeCell ref="AE7:AF7"/>
    <mergeCell ref="AG7:AH7"/>
    <mergeCell ref="AG8:AH8"/>
  </mergeCells>
  <printOptions/>
  <pageMargins left="0.1968503937007874" right="0.1968503937007874" top="0.1968503937007874" bottom="0.1968503937007874" header="0.5118110236220472" footer="0.5118110236220472"/>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codeName="Sheet3"/>
  <dimension ref="A1:AM115"/>
  <sheetViews>
    <sheetView zoomScaleSheetLayoutView="100" workbookViewId="0" topLeftCell="A1">
      <pane ySplit="11" topLeftCell="BM18" activePane="bottomLeft" state="frozen"/>
      <selection pane="topLeft" activeCell="E1" sqref="E1"/>
      <selection pane="bottomLeft" activeCell="A2" sqref="A2"/>
    </sheetView>
  </sheetViews>
  <sheetFormatPr defaultColWidth="9.140625" defaultRowHeight="12.75"/>
  <cols>
    <col min="1" max="1" width="4.28125" style="63" customWidth="1"/>
    <col min="2" max="2" width="35.57421875" style="63" customWidth="1"/>
    <col min="3" max="3" width="4.7109375" style="64" bestFit="1" customWidth="1"/>
    <col min="4" max="4" width="15.57421875" style="64" customWidth="1"/>
    <col min="5" max="5" width="8.140625" style="64" customWidth="1"/>
    <col min="6" max="6" width="15.00390625" style="64" customWidth="1"/>
    <col min="7" max="7" width="21.421875" style="63" customWidth="1"/>
    <col min="8" max="10" width="11.7109375" style="175" hidden="1" customWidth="1"/>
    <col min="11" max="11" width="12.7109375" style="175" hidden="1" customWidth="1"/>
    <col min="12" max="12" width="12.140625" style="175" hidden="1" customWidth="1"/>
    <col min="13" max="16" width="11.7109375" style="175" hidden="1" customWidth="1"/>
    <col min="17" max="17" width="11.8515625" style="175" hidden="1" customWidth="1"/>
    <col min="18" max="18" width="12.00390625" style="175" hidden="1" customWidth="1"/>
    <col min="19" max="19" width="22.00390625" style="175" hidden="1" customWidth="1"/>
    <col min="20" max="20" width="22.8515625" style="175" hidden="1" customWidth="1"/>
    <col min="21" max="21" width="13.421875" style="175" hidden="1" customWidth="1"/>
    <col min="22" max="26" width="12.00390625" style="175" hidden="1" customWidth="1"/>
    <col min="27" max="27" width="12.00390625" style="175" customWidth="1"/>
    <col min="28" max="28" width="11.00390625" style="64" customWidth="1"/>
    <col min="29" max="29" width="12.57421875" style="64" customWidth="1"/>
    <col min="30" max="30" width="11.7109375" style="63" customWidth="1"/>
    <col min="31" max="31" width="13.28125" style="63" customWidth="1"/>
    <col min="32" max="32" width="10.57421875" style="63" customWidth="1"/>
    <col min="33" max="33" width="8.57421875" style="63" customWidth="1"/>
    <col min="34" max="34" width="11.421875" style="63" customWidth="1"/>
    <col min="35" max="35" width="11.140625" style="63" customWidth="1"/>
    <col min="36" max="16384" width="8.8515625" style="63" customWidth="1"/>
  </cols>
  <sheetData>
    <row r="1" spans="1:39" ht="12.75">
      <c r="A1" s="4" t="s">
        <v>0</v>
      </c>
      <c r="B1" s="4"/>
      <c r="C1" s="21"/>
      <c r="D1" s="21"/>
      <c r="E1" s="21"/>
      <c r="F1" s="21"/>
      <c r="G1" s="26"/>
      <c r="H1" s="81"/>
      <c r="I1" s="81"/>
      <c r="J1" s="81"/>
      <c r="K1" s="81"/>
      <c r="L1" s="81"/>
      <c r="M1" s="81"/>
      <c r="N1" s="81"/>
      <c r="O1" s="81"/>
      <c r="P1" s="81"/>
      <c r="Q1" s="81"/>
      <c r="R1" s="81"/>
      <c r="S1" s="81"/>
      <c r="T1" s="81"/>
      <c r="U1" s="81"/>
      <c r="V1" s="81"/>
      <c r="W1" s="81"/>
      <c r="X1" s="81"/>
      <c r="Y1" s="81"/>
      <c r="Z1" s="81"/>
      <c r="AA1" s="81"/>
      <c r="AB1" s="66"/>
      <c r="AC1" s="66"/>
      <c r="AD1" s="26"/>
      <c r="AE1" s="421" t="s">
        <v>2</v>
      </c>
      <c r="AF1" s="421"/>
      <c r="AG1" s="26"/>
      <c r="AJ1" s="26"/>
      <c r="AK1" s="26"/>
      <c r="AL1" s="26"/>
      <c r="AM1" s="26"/>
    </row>
    <row r="2" spans="1:39" ht="12.75">
      <c r="A2" s="26" t="s">
        <v>365</v>
      </c>
      <c r="B2" s="26"/>
      <c r="C2" s="66"/>
      <c r="D2" s="66"/>
      <c r="E2" s="66"/>
      <c r="F2" s="66"/>
      <c r="G2" s="26"/>
      <c r="H2" s="81"/>
      <c r="I2" s="81"/>
      <c r="J2" s="81"/>
      <c r="K2" s="81"/>
      <c r="L2" s="81"/>
      <c r="M2" s="81"/>
      <c r="N2" s="81"/>
      <c r="O2" s="81"/>
      <c r="P2" s="81"/>
      <c r="Q2" s="81"/>
      <c r="R2" s="81"/>
      <c r="S2" s="81"/>
      <c r="T2" s="81"/>
      <c r="U2" s="81"/>
      <c r="V2" s="81"/>
      <c r="W2" s="81"/>
      <c r="X2" s="81"/>
      <c r="Y2" s="81"/>
      <c r="Z2" s="81"/>
      <c r="AA2" s="81"/>
      <c r="AB2" s="66"/>
      <c r="AC2" s="66"/>
      <c r="AD2" s="26"/>
      <c r="AE2" s="421" t="s">
        <v>3</v>
      </c>
      <c r="AF2" s="421"/>
      <c r="AG2" s="26"/>
      <c r="AJ2" s="26"/>
      <c r="AK2" s="26"/>
      <c r="AL2" s="26"/>
      <c r="AM2" s="26"/>
    </row>
    <row r="3" spans="1:39" ht="12.75">
      <c r="A3" s="26"/>
      <c r="B3" s="26"/>
      <c r="C3" s="66"/>
      <c r="D3" s="66"/>
      <c r="E3" s="66"/>
      <c r="F3" s="66"/>
      <c r="G3" s="26"/>
      <c r="H3" s="81"/>
      <c r="I3" s="81"/>
      <c r="J3" s="81"/>
      <c r="K3" s="81"/>
      <c r="L3" s="81"/>
      <c r="M3" s="81"/>
      <c r="N3" s="81"/>
      <c r="O3" s="81"/>
      <c r="P3" s="81"/>
      <c r="Q3" s="81"/>
      <c r="R3" s="81"/>
      <c r="S3" s="81"/>
      <c r="T3" s="81"/>
      <c r="U3" s="81"/>
      <c r="V3" s="81"/>
      <c r="W3" s="81"/>
      <c r="X3" s="81"/>
      <c r="Y3" s="81"/>
      <c r="Z3" s="81"/>
      <c r="AA3" s="81"/>
      <c r="AB3" s="66"/>
      <c r="AC3" s="66"/>
      <c r="AD3" s="26"/>
      <c r="AE3" s="425" t="s">
        <v>327</v>
      </c>
      <c r="AF3" s="425"/>
      <c r="AG3" s="26"/>
      <c r="AJ3" s="26"/>
      <c r="AK3" s="26"/>
      <c r="AL3" s="26"/>
      <c r="AM3" s="26"/>
    </row>
    <row r="4" spans="1:39" ht="12.75">
      <c r="A4" s="26"/>
      <c r="B4" s="26"/>
      <c r="C4" s="66"/>
      <c r="D4" s="66"/>
      <c r="E4" s="66"/>
      <c r="F4" s="66"/>
      <c r="G4" s="26"/>
      <c r="H4" s="81"/>
      <c r="I4" s="81"/>
      <c r="J4" s="81"/>
      <c r="K4" s="81"/>
      <c r="L4" s="81"/>
      <c r="M4" s="81"/>
      <c r="N4" s="81"/>
      <c r="O4" s="81"/>
      <c r="P4" s="81"/>
      <c r="Q4" s="81"/>
      <c r="R4" s="81"/>
      <c r="S4" s="81"/>
      <c r="T4" s="81"/>
      <c r="U4" s="81"/>
      <c r="V4" s="81"/>
      <c r="W4" s="81"/>
      <c r="X4" s="81"/>
      <c r="Y4" s="81"/>
      <c r="Z4" s="81"/>
      <c r="AA4" s="81"/>
      <c r="AB4" s="66"/>
      <c r="AC4" s="66"/>
      <c r="AD4" s="26"/>
      <c r="AE4" s="138"/>
      <c r="AF4" s="138"/>
      <c r="AG4" s="26"/>
      <c r="AJ4" s="26"/>
      <c r="AK4" s="26"/>
      <c r="AL4" s="26"/>
      <c r="AM4" s="26"/>
    </row>
    <row r="5" spans="1:39" ht="12.75">
      <c r="A5" s="26"/>
      <c r="B5" s="26"/>
      <c r="C5" s="66"/>
      <c r="D5" s="66"/>
      <c r="E5" s="66"/>
      <c r="F5" s="66"/>
      <c r="G5" s="26"/>
      <c r="H5" s="81"/>
      <c r="I5" s="81"/>
      <c r="J5" s="81"/>
      <c r="K5" s="81"/>
      <c r="L5" s="81"/>
      <c r="M5" s="81"/>
      <c r="N5" s="81"/>
      <c r="O5" s="81"/>
      <c r="P5" s="81"/>
      <c r="Q5" s="81"/>
      <c r="R5" s="81"/>
      <c r="S5" s="81"/>
      <c r="T5" s="81"/>
      <c r="U5" s="81"/>
      <c r="V5" s="81"/>
      <c r="W5" s="81"/>
      <c r="X5" s="81"/>
      <c r="Y5" s="81"/>
      <c r="Z5" s="81"/>
      <c r="AA5" s="81"/>
      <c r="AB5" s="66"/>
      <c r="AC5" s="66"/>
      <c r="AD5" s="26"/>
      <c r="AE5" s="138"/>
      <c r="AF5" s="138"/>
      <c r="AG5" s="26"/>
      <c r="AJ5" s="26"/>
      <c r="AK5" s="26"/>
      <c r="AL5" s="26"/>
      <c r="AM5" s="26"/>
    </row>
    <row r="6" spans="1:39" ht="12.75">
      <c r="A6" s="26"/>
      <c r="B6" s="26"/>
      <c r="C6" s="66"/>
      <c r="D6" s="66"/>
      <c r="E6" s="66"/>
      <c r="F6" s="66"/>
      <c r="G6" s="26"/>
      <c r="H6" s="81"/>
      <c r="I6" s="81"/>
      <c r="J6" s="81"/>
      <c r="K6" s="81"/>
      <c r="L6" s="81"/>
      <c r="M6" s="81"/>
      <c r="N6" s="81"/>
      <c r="O6" s="81"/>
      <c r="P6" s="81"/>
      <c r="Q6" s="81"/>
      <c r="R6" s="81"/>
      <c r="S6" s="81"/>
      <c r="T6" s="81"/>
      <c r="U6" s="81"/>
      <c r="V6" s="81"/>
      <c r="W6" s="81"/>
      <c r="X6" s="81"/>
      <c r="Y6" s="81"/>
      <c r="Z6" s="81"/>
      <c r="AA6" s="81"/>
      <c r="AB6" s="66"/>
      <c r="AC6" s="66"/>
      <c r="AD6" s="26"/>
      <c r="AE6" s="138"/>
      <c r="AF6" s="138"/>
      <c r="AG6" s="26"/>
      <c r="AJ6" s="26"/>
      <c r="AK6" s="26"/>
      <c r="AL6" s="26"/>
      <c r="AM6" s="26"/>
    </row>
    <row r="7" spans="2:39" ht="12.75">
      <c r="B7" s="92"/>
      <c r="C7" s="21"/>
      <c r="D7" s="21"/>
      <c r="E7" s="21"/>
      <c r="F7" s="21"/>
      <c r="G7" s="92" t="s">
        <v>1</v>
      </c>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26"/>
      <c r="AK7" s="26"/>
      <c r="AL7" s="26"/>
      <c r="AM7" s="26"/>
    </row>
    <row r="8" spans="1:37" ht="13.5" thickBot="1">
      <c r="A8" s="26"/>
      <c r="B8" s="26"/>
      <c r="C8" s="66"/>
      <c r="D8" s="66"/>
      <c r="E8" s="66"/>
      <c r="F8" s="66"/>
      <c r="G8" s="26"/>
      <c r="H8" s="81"/>
      <c r="I8" s="81"/>
      <c r="J8" s="81"/>
      <c r="K8" s="81"/>
      <c r="L8" s="81"/>
      <c r="M8" s="81"/>
      <c r="N8" s="81"/>
      <c r="O8" s="81"/>
      <c r="P8" s="81"/>
      <c r="Q8" s="81"/>
      <c r="R8" s="81"/>
      <c r="S8" s="81"/>
      <c r="T8" s="81"/>
      <c r="U8" s="81"/>
      <c r="V8" s="81"/>
      <c r="W8" s="81"/>
      <c r="X8" s="81"/>
      <c r="Y8" s="81"/>
      <c r="Z8" s="81"/>
      <c r="AA8" s="81"/>
      <c r="AB8" s="63"/>
      <c r="AC8" s="26" t="s">
        <v>493</v>
      </c>
      <c r="AE8" s="66"/>
      <c r="AF8" s="26"/>
      <c r="AG8" s="66"/>
      <c r="AI8" s="26"/>
      <c r="AJ8" s="26"/>
      <c r="AK8" s="26"/>
    </row>
    <row r="9" spans="1:37" s="157" customFormat="1" ht="12.75" customHeight="1" thickBot="1">
      <c r="A9" s="156" t="s">
        <v>141</v>
      </c>
      <c r="B9" s="426" t="s">
        <v>5</v>
      </c>
      <c r="C9" s="427"/>
      <c r="D9" s="427"/>
      <c r="E9" s="427"/>
      <c r="F9" s="428"/>
      <c r="G9" s="153" t="s">
        <v>8</v>
      </c>
      <c r="H9" s="148" t="s">
        <v>17</v>
      </c>
      <c r="I9" s="148" t="s">
        <v>17</v>
      </c>
      <c r="J9" s="148" t="s">
        <v>17</v>
      </c>
      <c r="K9" s="148" t="s">
        <v>17</v>
      </c>
      <c r="L9" s="148" t="s">
        <v>178</v>
      </c>
      <c r="M9" s="148" t="s">
        <v>17</v>
      </c>
      <c r="N9" s="149" t="s">
        <v>169</v>
      </c>
      <c r="O9" s="149" t="s">
        <v>173</v>
      </c>
      <c r="P9" s="149" t="s">
        <v>178</v>
      </c>
      <c r="Q9" s="149" t="s">
        <v>178</v>
      </c>
      <c r="R9" s="150" t="s">
        <v>178</v>
      </c>
      <c r="S9" s="151" t="s">
        <v>278</v>
      </c>
      <c r="T9" s="151" t="s">
        <v>276</v>
      </c>
      <c r="U9" s="135" t="s">
        <v>167</v>
      </c>
      <c r="V9" s="153" t="s">
        <v>178</v>
      </c>
      <c r="W9" s="135" t="s">
        <v>169</v>
      </c>
      <c r="X9" s="135" t="s">
        <v>318</v>
      </c>
      <c r="Y9" s="135" t="s">
        <v>167</v>
      </c>
      <c r="Z9" s="135" t="s">
        <v>167</v>
      </c>
      <c r="AA9" s="153" t="s">
        <v>167</v>
      </c>
      <c r="AB9" s="149" t="s">
        <v>18</v>
      </c>
      <c r="AC9" s="150" t="s">
        <v>21</v>
      </c>
      <c r="AD9" s="243" t="s">
        <v>22</v>
      </c>
      <c r="AE9" s="427" t="s">
        <v>24</v>
      </c>
      <c r="AF9" s="427"/>
      <c r="AG9" s="414" t="s">
        <v>186</v>
      </c>
      <c r="AH9" s="415"/>
      <c r="AI9" s="152" t="s">
        <v>22</v>
      </c>
      <c r="AJ9" s="89"/>
      <c r="AK9" s="89"/>
    </row>
    <row r="10" spans="1:37" s="157" customFormat="1" ht="13.5" thickBot="1">
      <c r="A10" s="158" t="s">
        <v>142</v>
      </c>
      <c r="B10" s="149" t="s">
        <v>6</v>
      </c>
      <c r="C10" s="149"/>
      <c r="D10" s="149"/>
      <c r="E10" s="149"/>
      <c r="F10" s="149" t="s">
        <v>7</v>
      </c>
      <c r="G10" s="154"/>
      <c r="H10" s="159"/>
      <c r="I10" s="160"/>
      <c r="J10" s="160"/>
      <c r="K10" s="160"/>
      <c r="L10" s="160" t="s">
        <v>170</v>
      </c>
      <c r="M10" s="160" t="s">
        <v>174</v>
      </c>
      <c r="N10" s="160"/>
      <c r="O10" s="161" t="s">
        <v>168</v>
      </c>
      <c r="P10" s="161" t="s">
        <v>168</v>
      </c>
      <c r="Q10" s="161" t="s">
        <v>170</v>
      </c>
      <c r="R10" s="161" t="s">
        <v>168</v>
      </c>
      <c r="S10" s="161" t="s">
        <v>277</v>
      </c>
      <c r="T10" s="162" t="s">
        <v>277</v>
      </c>
      <c r="U10" s="162" t="s">
        <v>170</v>
      </c>
      <c r="V10" s="161" t="s">
        <v>251</v>
      </c>
      <c r="W10" s="162" t="s">
        <v>316</v>
      </c>
      <c r="X10" s="162" t="s">
        <v>168</v>
      </c>
      <c r="Y10" s="162" t="s">
        <v>168</v>
      </c>
      <c r="Z10" s="162" t="s">
        <v>168</v>
      </c>
      <c r="AA10" s="162"/>
      <c r="AB10" s="136" t="s">
        <v>19</v>
      </c>
      <c r="AC10" s="242" t="s">
        <v>20</v>
      </c>
      <c r="AD10" s="244" t="s">
        <v>23</v>
      </c>
      <c r="AE10" s="153" t="s">
        <v>25</v>
      </c>
      <c r="AF10" s="150" t="s">
        <v>26</v>
      </c>
      <c r="AG10" s="163" t="s">
        <v>224</v>
      </c>
      <c r="AH10" s="164"/>
      <c r="AI10" s="165" t="s">
        <v>27</v>
      </c>
      <c r="AJ10" s="89"/>
      <c r="AK10" s="89"/>
    </row>
    <row r="11" spans="1:37" s="157" customFormat="1" ht="13.5" thickBot="1">
      <c r="A11" s="166"/>
      <c r="B11" s="74"/>
      <c r="C11" s="137" t="s">
        <v>335</v>
      </c>
      <c r="D11" s="137" t="s">
        <v>336</v>
      </c>
      <c r="E11" s="137" t="s">
        <v>364</v>
      </c>
      <c r="F11" s="137"/>
      <c r="G11" s="155"/>
      <c r="H11" s="167"/>
      <c r="I11" s="167"/>
      <c r="J11" s="167"/>
      <c r="K11" s="167"/>
      <c r="L11" s="137" t="s">
        <v>172</v>
      </c>
      <c r="M11" s="137" t="s">
        <v>175</v>
      </c>
      <c r="N11" s="167"/>
      <c r="O11" s="137" t="s">
        <v>172</v>
      </c>
      <c r="P11" s="137" t="s">
        <v>171</v>
      </c>
      <c r="Q11" s="137" t="s">
        <v>171</v>
      </c>
      <c r="R11" s="137" t="s">
        <v>228</v>
      </c>
      <c r="S11" s="137"/>
      <c r="T11" s="168" t="s">
        <v>281</v>
      </c>
      <c r="U11" s="168">
        <v>2005</v>
      </c>
      <c r="V11" s="130">
        <v>2004</v>
      </c>
      <c r="W11" s="168" t="s">
        <v>317</v>
      </c>
      <c r="X11" s="168"/>
      <c r="Y11" s="168">
        <v>2005</v>
      </c>
      <c r="Z11" s="168">
        <v>2005</v>
      </c>
      <c r="AA11" s="168"/>
      <c r="AB11" s="137"/>
      <c r="AC11" s="248">
        <v>0.15</v>
      </c>
      <c r="AD11" s="170"/>
      <c r="AE11" s="155"/>
      <c r="AF11" s="169"/>
      <c r="AG11" s="249" t="s">
        <v>25</v>
      </c>
      <c r="AH11" s="249" t="s">
        <v>26</v>
      </c>
      <c r="AI11" s="171"/>
      <c r="AJ11" s="89"/>
      <c r="AK11" s="89"/>
    </row>
    <row r="12" spans="1:37" s="157" customFormat="1" ht="12.75">
      <c r="A12" s="89"/>
      <c r="B12" s="89"/>
      <c r="C12" s="172"/>
      <c r="D12" s="172"/>
      <c r="E12" s="172"/>
      <c r="F12" s="172"/>
      <c r="G12" s="89"/>
      <c r="H12" s="234"/>
      <c r="I12" s="234"/>
      <c r="J12" s="234"/>
      <c r="K12" s="234"/>
      <c r="L12" s="172"/>
      <c r="M12" s="172"/>
      <c r="N12" s="234"/>
      <c r="O12" s="172"/>
      <c r="P12" s="172"/>
      <c r="Q12" s="172"/>
      <c r="R12" s="172"/>
      <c r="S12" s="172"/>
      <c r="T12" s="235"/>
      <c r="U12" s="235"/>
      <c r="V12" s="236"/>
      <c r="W12" s="235"/>
      <c r="X12" s="235"/>
      <c r="Y12" s="235"/>
      <c r="Z12" s="235"/>
      <c r="AA12" s="235"/>
      <c r="AB12" s="172"/>
      <c r="AC12" s="173"/>
      <c r="AD12" s="89"/>
      <c r="AE12" s="89"/>
      <c r="AF12" s="89"/>
      <c r="AG12" s="89"/>
      <c r="AH12" s="89"/>
      <c r="AI12" s="89"/>
      <c r="AJ12" s="89"/>
      <c r="AK12" s="89"/>
    </row>
    <row r="13" spans="1:37" ht="12.75">
      <c r="A13" s="26">
        <v>59</v>
      </c>
      <c r="B13" s="138" t="s">
        <v>373</v>
      </c>
      <c r="C13" s="66" t="s">
        <v>339</v>
      </c>
      <c r="D13" s="66" t="s">
        <v>340</v>
      </c>
      <c r="E13" s="66">
        <v>1</v>
      </c>
      <c r="F13" s="66" t="s">
        <v>214</v>
      </c>
      <c r="G13" s="26" t="s">
        <v>157</v>
      </c>
      <c r="H13" s="81">
        <v>3935000</v>
      </c>
      <c r="I13" s="66">
        <f>H13*1.0829</f>
        <v>4261211.5</v>
      </c>
      <c r="J13" s="66">
        <v>4488000</v>
      </c>
      <c r="K13" s="66">
        <v>4993000</v>
      </c>
      <c r="L13" s="66">
        <v>8200000</v>
      </c>
      <c r="M13" s="81">
        <f>CEILING(K13*1.12,1000)</f>
        <v>5593000</v>
      </c>
      <c r="N13" s="81">
        <f>L13-M13</f>
        <v>2607000</v>
      </c>
      <c r="O13" s="26">
        <f>N13*0.38</f>
        <v>990660</v>
      </c>
      <c r="P13" s="26">
        <f>M13+O13</f>
        <v>6583660</v>
      </c>
      <c r="Q13" s="26">
        <v>8200000</v>
      </c>
      <c r="R13" s="81">
        <f>CEILING(Q13*1.06,1000)</f>
        <v>8692000</v>
      </c>
      <c r="S13" s="81" t="s">
        <v>272</v>
      </c>
      <c r="T13" s="81" t="s">
        <v>296</v>
      </c>
      <c r="U13" s="81">
        <v>13158000</v>
      </c>
      <c r="V13" s="81">
        <v>11057000</v>
      </c>
      <c r="W13" s="81">
        <f>U13-V13</f>
        <v>2101000</v>
      </c>
      <c r="X13" s="81">
        <f>W13*45%</f>
        <v>945450</v>
      </c>
      <c r="Y13" s="81">
        <f>SUM(V13,X13)</f>
        <v>12002450</v>
      </c>
      <c r="Z13" s="81">
        <f>ROUNDUP(Y13,-3)</f>
        <v>12003000</v>
      </c>
      <c r="AA13" s="81">
        <v>1465</v>
      </c>
      <c r="AB13" s="81">
        <f>AA13*50%</f>
        <v>732.5</v>
      </c>
      <c r="AC13" s="81">
        <f>(AA13+AB13)*15%</f>
        <v>329.625</v>
      </c>
      <c r="AD13" s="81">
        <f>SUM(AA13:AC13)</f>
        <v>2527.125</v>
      </c>
      <c r="AE13" s="132">
        <v>0.25</v>
      </c>
      <c r="AF13" s="26">
        <f>AD13*AE13</f>
        <v>631.78125</v>
      </c>
      <c r="AG13" s="26"/>
      <c r="AH13" s="26"/>
      <c r="AI13" s="26">
        <f>SUM(AD13,AF13,AH13)</f>
        <v>3158.90625</v>
      </c>
      <c r="AJ13" s="26"/>
      <c r="AK13" s="26"/>
    </row>
    <row r="14" spans="1:37" ht="12.75">
      <c r="A14" s="26"/>
      <c r="B14" s="138"/>
      <c r="C14" s="66"/>
      <c r="D14" s="66"/>
      <c r="E14" s="66"/>
      <c r="F14" s="66"/>
      <c r="G14" s="26"/>
      <c r="H14" s="81"/>
      <c r="I14" s="66"/>
      <c r="J14" s="66"/>
      <c r="K14" s="66"/>
      <c r="L14" s="66"/>
      <c r="M14" s="81"/>
      <c r="N14" s="81"/>
      <c r="O14" s="26"/>
      <c r="P14" s="26"/>
      <c r="Q14" s="26"/>
      <c r="R14" s="81"/>
      <c r="S14" s="81"/>
      <c r="T14" s="81"/>
      <c r="U14" s="81"/>
      <c r="V14" s="81"/>
      <c r="W14" s="81"/>
      <c r="X14" s="81"/>
      <c r="Y14" s="81"/>
      <c r="Z14" s="81"/>
      <c r="AA14" s="81"/>
      <c r="AB14" s="81"/>
      <c r="AC14" s="81"/>
      <c r="AD14" s="26"/>
      <c r="AE14" s="132"/>
      <c r="AF14" s="26"/>
      <c r="AG14" s="26"/>
      <c r="AH14" s="26"/>
      <c r="AI14" s="26"/>
      <c r="AJ14" s="26"/>
      <c r="AK14" s="26"/>
    </row>
    <row r="15" spans="1:37" ht="12.75">
      <c r="A15" s="26"/>
      <c r="B15" s="138" t="s">
        <v>366</v>
      </c>
      <c r="C15" s="66"/>
      <c r="D15" s="66"/>
      <c r="E15" s="66"/>
      <c r="F15" s="66"/>
      <c r="G15" s="26"/>
      <c r="H15" s="26"/>
      <c r="I15" s="66"/>
      <c r="J15" s="66"/>
      <c r="K15" s="81"/>
      <c r="L15" s="81"/>
      <c r="M15" s="81"/>
      <c r="N15" s="81"/>
      <c r="O15" s="26"/>
      <c r="P15" s="26"/>
      <c r="Q15" s="26"/>
      <c r="R15" s="81"/>
      <c r="S15" s="81"/>
      <c r="T15" s="81"/>
      <c r="U15" s="81"/>
      <c r="V15" s="81"/>
      <c r="W15" s="81"/>
      <c r="X15" s="81"/>
      <c r="Y15" s="81"/>
      <c r="Z15" s="81"/>
      <c r="AA15" s="81"/>
      <c r="AB15" s="26"/>
      <c r="AC15" s="26"/>
      <c r="AD15" s="26"/>
      <c r="AE15" s="132"/>
      <c r="AF15" s="26"/>
      <c r="AG15" s="26"/>
      <c r="AH15" s="26"/>
      <c r="AI15" s="26"/>
      <c r="AJ15" s="26"/>
      <c r="AK15" s="26"/>
    </row>
    <row r="16" spans="1:37" ht="12.75">
      <c r="A16" s="26">
        <v>60</v>
      </c>
      <c r="B16" s="138" t="s">
        <v>350</v>
      </c>
      <c r="C16" s="66" t="s">
        <v>339</v>
      </c>
      <c r="D16" s="66" t="s">
        <v>340</v>
      </c>
      <c r="E16" s="66">
        <v>3</v>
      </c>
      <c r="F16" s="66"/>
      <c r="G16" s="26" t="s">
        <v>159</v>
      </c>
      <c r="H16" s="81">
        <v>4023000</v>
      </c>
      <c r="I16" s="66">
        <f>H16*1.0829</f>
        <v>4356506.7</v>
      </c>
      <c r="J16" s="66">
        <f>CEILING(I16*1.03,1000)</f>
        <v>4488000</v>
      </c>
      <c r="K16" s="66">
        <v>1989000</v>
      </c>
      <c r="L16" s="66">
        <v>3900000</v>
      </c>
      <c r="M16" s="81">
        <v>3593000</v>
      </c>
      <c r="N16" s="81">
        <f>L16-M16</f>
        <v>307000</v>
      </c>
      <c r="O16" s="26">
        <f>N16*0.38</f>
        <v>116660</v>
      </c>
      <c r="P16" s="26">
        <f>M16+O16</f>
        <v>3709660</v>
      </c>
      <c r="Q16" s="26">
        <v>3900000</v>
      </c>
      <c r="R16" s="81">
        <f>CEILING(Q16*1.06,1000)</f>
        <v>4134000</v>
      </c>
      <c r="S16" s="81" t="s">
        <v>256</v>
      </c>
      <c r="T16" s="81" t="s">
        <v>309</v>
      </c>
      <c r="U16" s="81">
        <v>6208000</v>
      </c>
      <c r="V16" s="81">
        <v>5216000</v>
      </c>
      <c r="W16" s="81">
        <f>U16-V16</f>
        <v>992000</v>
      </c>
      <c r="X16" s="81">
        <f>W16*45%</f>
        <v>446400</v>
      </c>
      <c r="Y16" s="81">
        <f>SUM(V16,X16)</f>
        <v>5662400</v>
      </c>
      <c r="Z16" s="81">
        <v>7258000</v>
      </c>
      <c r="AA16" s="81">
        <v>1190</v>
      </c>
      <c r="AB16" s="66"/>
      <c r="AC16" s="81">
        <f>(AA16+AB16)*15%</f>
        <v>178.5</v>
      </c>
      <c r="AD16" s="81">
        <f>SUM(AA16:AC16)</f>
        <v>1368.5</v>
      </c>
      <c r="AE16" s="132">
        <v>0.1</v>
      </c>
      <c r="AF16" s="26">
        <f>AD16*AE16</f>
        <v>136.85</v>
      </c>
      <c r="AG16" s="26"/>
      <c r="AH16" s="26"/>
      <c r="AI16" s="26">
        <f>SUM(AD16,AF16,AH16)</f>
        <v>1505.35</v>
      </c>
      <c r="AJ16" s="26"/>
      <c r="AK16" s="26"/>
    </row>
    <row r="17" spans="1:37" ht="12.75">
      <c r="A17" s="26">
        <v>61</v>
      </c>
      <c r="B17" s="138" t="s">
        <v>350</v>
      </c>
      <c r="C17" s="66" t="s">
        <v>339</v>
      </c>
      <c r="D17" s="66" t="s">
        <v>355</v>
      </c>
      <c r="E17" s="66"/>
      <c r="F17" s="66"/>
      <c r="G17" s="26" t="s">
        <v>217</v>
      </c>
      <c r="H17" s="81"/>
      <c r="I17" s="66"/>
      <c r="J17" s="66"/>
      <c r="K17" s="66"/>
      <c r="L17" s="66"/>
      <c r="M17" s="81"/>
      <c r="N17" s="81"/>
      <c r="O17" s="26"/>
      <c r="P17" s="26"/>
      <c r="Q17" s="26"/>
      <c r="R17" s="81"/>
      <c r="S17" s="81"/>
      <c r="T17" s="81"/>
      <c r="U17" s="81"/>
      <c r="V17" s="81"/>
      <c r="W17" s="81"/>
      <c r="X17" s="81"/>
      <c r="Y17" s="81"/>
      <c r="Z17" s="81">
        <v>4375000</v>
      </c>
      <c r="AA17" s="81">
        <v>533</v>
      </c>
      <c r="AB17" s="81"/>
      <c r="AC17" s="81"/>
      <c r="AD17" s="81">
        <f>SUM(AA17:AC17)</f>
        <v>533</v>
      </c>
      <c r="AE17" s="132"/>
      <c r="AF17" s="26"/>
      <c r="AG17" s="26"/>
      <c r="AH17" s="26"/>
      <c r="AI17" s="26">
        <f>SUM(AD17,AF17,AH17)</f>
        <v>533</v>
      </c>
      <c r="AJ17" s="26"/>
      <c r="AK17" s="26"/>
    </row>
    <row r="18" spans="1:37" ht="12.75">
      <c r="A18" s="26"/>
      <c r="B18" s="138"/>
      <c r="C18" s="66"/>
      <c r="D18" s="66"/>
      <c r="E18" s="66"/>
      <c r="F18" s="66"/>
      <c r="G18" s="26"/>
      <c r="H18" s="81"/>
      <c r="I18" s="66"/>
      <c r="J18" s="66"/>
      <c r="K18" s="66"/>
      <c r="L18" s="66"/>
      <c r="M18" s="81"/>
      <c r="N18" s="81"/>
      <c r="O18" s="26"/>
      <c r="P18" s="26"/>
      <c r="Q18" s="26"/>
      <c r="R18" s="81"/>
      <c r="S18" s="81"/>
      <c r="T18" s="81"/>
      <c r="U18" s="81"/>
      <c r="V18" s="81"/>
      <c r="W18" s="81"/>
      <c r="X18" s="81"/>
      <c r="Y18" s="81"/>
      <c r="Z18" s="81"/>
      <c r="AA18" s="81"/>
      <c r="AB18" s="81"/>
      <c r="AC18" s="81"/>
      <c r="AD18" s="26"/>
      <c r="AE18" s="132"/>
      <c r="AF18" s="26"/>
      <c r="AG18" s="26"/>
      <c r="AH18" s="26"/>
      <c r="AI18" s="26"/>
      <c r="AJ18" s="26"/>
      <c r="AK18" s="26"/>
    </row>
    <row r="19" spans="1:37" ht="12.75">
      <c r="A19" s="26"/>
      <c r="B19" s="138" t="s">
        <v>367</v>
      </c>
      <c r="C19" s="66"/>
      <c r="D19" s="66"/>
      <c r="E19" s="66"/>
      <c r="F19" s="66"/>
      <c r="G19" s="26"/>
      <c r="H19" s="26"/>
      <c r="I19" s="66"/>
      <c r="J19" s="66"/>
      <c r="K19" s="81"/>
      <c r="L19" s="81"/>
      <c r="M19" s="81"/>
      <c r="N19" s="81"/>
      <c r="O19" s="26"/>
      <c r="P19" s="26"/>
      <c r="Q19" s="26"/>
      <c r="R19" s="81"/>
      <c r="S19" s="81"/>
      <c r="T19" s="81"/>
      <c r="U19" s="81"/>
      <c r="V19" s="81"/>
      <c r="W19" s="81"/>
      <c r="X19" s="81"/>
      <c r="Y19" s="81"/>
      <c r="Z19" s="81"/>
      <c r="AA19" s="81"/>
      <c r="AB19" s="26"/>
      <c r="AC19" s="26"/>
      <c r="AD19" s="26"/>
      <c r="AE19" s="132"/>
      <c r="AF19" s="26"/>
      <c r="AG19" s="26"/>
      <c r="AH19" s="26"/>
      <c r="AI19" s="26"/>
      <c r="AJ19" s="26"/>
      <c r="AK19" s="26"/>
    </row>
    <row r="20" spans="1:39" ht="12.75">
      <c r="A20" s="26">
        <v>62</v>
      </c>
      <c r="B20" s="138" t="s">
        <v>338</v>
      </c>
      <c r="C20" s="66" t="s">
        <v>339</v>
      </c>
      <c r="D20" s="66" t="s">
        <v>340</v>
      </c>
      <c r="E20" s="66">
        <v>1</v>
      </c>
      <c r="F20" s="66"/>
      <c r="G20" s="26" t="s">
        <v>121</v>
      </c>
      <c r="H20" s="81">
        <v>3816000</v>
      </c>
      <c r="I20" s="66">
        <f>H20*1.0829</f>
        <v>4132346.4</v>
      </c>
      <c r="J20" s="66">
        <f>CEILING(I20*1.03,1000)</f>
        <v>4257000</v>
      </c>
      <c r="K20" s="66">
        <v>4736000</v>
      </c>
      <c r="L20" s="66">
        <v>8200000</v>
      </c>
      <c r="M20" s="81">
        <f>CEILING(K20*1.12,1000)</f>
        <v>5305000</v>
      </c>
      <c r="N20" s="81">
        <f>L20-M20</f>
        <v>2895000</v>
      </c>
      <c r="O20" s="26">
        <f>N20*0.38</f>
        <v>1100100</v>
      </c>
      <c r="P20" s="26">
        <f>M20+O20</f>
        <v>6405100</v>
      </c>
      <c r="Q20" s="26">
        <v>8200000</v>
      </c>
      <c r="R20" s="81">
        <f>CEILING(Q20*1.06,1000)</f>
        <v>8692000</v>
      </c>
      <c r="S20" s="81" t="s">
        <v>267</v>
      </c>
      <c r="T20" s="81" t="s">
        <v>297</v>
      </c>
      <c r="U20" s="81">
        <v>13158000</v>
      </c>
      <c r="V20" s="81">
        <v>11057000</v>
      </c>
      <c r="W20" s="81">
        <f>U20-V20</f>
        <v>2101000</v>
      </c>
      <c r="X20" s="81">
        <f>W20*45%</f>
        <v>945450</v>
      </c>
      <c r="Y20" s="81">
        <f>SUM(V20,X20)</f>
        <v>12002450</v>
      </c>
      <c r="Z20" s="81">
        <f>ROUNDUP(Y20,-3)</f>
        <v>12003000</v>
      </c>
      <c r="AA20" s="81">
        <v>1465</v>
      </c>
      <c r="AB20" s="81"/>
      <c r="AC20" s="63"/>
      <c r="AD20" s="81">
        <f>SUM(AA20:AC20)</f>
        <v>1465</v>
      </c>
      <c r="AE20" s="132">
        <v>0.25</v>
      </c>
      <c r="AF20" s="26">
        <f>AD20*AE20</f>
        <v>366.25</v>
      </c>
      <c r="AG20" s="132">
        <v>0.1</v>
      </c>
      <c r="AH20" s="26">
        <f>AD20*AG20</f>
        <v>146.5</v>
      </c>
      <c r="AI20" s="26">
        <f>SUM(AD20,AF20,AH20)</f>
        <v>1977.75</v>
      </c>
      <c r="AJ20" s="26"/>
      <c r="AK20" s="26"/>
      <c r="AL20" s="26"/>
      <c r="AM20" s="26"/>
    </row>
    <row r="21" spans="1:39" ht="12.75">
      <c r="A21" s="26">
        <v>63</v>
      </c>
      <c r="B21" s="138" t="s">
        <v>338</v>
      </c>
      <c r="C21" s="66" t="s">
        <v>339</v>
      </c>
      <c r="D21" s="66" t="s">
        <v>340</v>
      </c>
      <c r="E21" s="66">
        <v>1</v>
      </c>
      <c r="F21" s="66"/>
      <c r="G21" s="26" t="s">
        <v>122</v>
      </c>
      <c r="H21" s="81">
        <v>3816000</v>
      </c>
      <c r="I21" s="66">
        <f>H21*1.0829</f>
        <v>4132346.4</v>
      </c>
      <c r="J21" s="66">
        <f>CEILING(I21*1.03,1000)</f>
        <v>4257000</v>
      </c>
      <c r="K21" s="66">
        <v>4736000</v>
      </c>
      <c r="L21" s="66">
        <v>8200000</v>
      </c>
      <c r="M21" s="81">
        <f>CEILING(K21*1.12,1000)</f>
        <v>5305000</v>
      </c>
      <c r="N21" s="81">
        <f>L21-M21</f>
        <v>2895000</v>
      </c>
      <c r="O21" s="26">
        <f>N21*0.38</f>
        <v>1100100</v>
      </c>
      <c r="P21" s="26">
        <f>M21+O21</f>
        <v>6405100</v>
      </c>
      <c r="Q21" s="26">
        <v>8200000</v>
      </c>
      <c r="R21" s="81">
        <f>CEILING(Q21*1.06,1000)</f>
        <v>8692000</v>
      </c>
      <c r="S21" s="81" t="s">
        <v>267</v>
      </c>
      <c r="T21" s="81" t="s">
        <v>297</v>
      </c>
      <c r="U21" s="81">
        <v>13158000</v>
      </c>
      <c r="V21" s="81">
        <v>11057000</v>
      </c>
      <c r="W21" s="81">
        <f>U21-V21</f>
        <v>2101000</v>
      </c>
      <c r="X21" s="81">
        <f>W21*45%</f>
        <v>945450</v>
      </c>
      <c r="Y21" s="81">
        <f>SUM(V21,X21)</f>
        <v>12002450</v>
      </c>
      <c r="Z21" s="81">
        <f>ROUNDUP(Y21,-3)</f>
        <v>12003000</v>
      </c>
      <c r="AA21" s="81">
        <v>1465</v>
      </c>
      <c r="AB21" s="66"/>
      <c r="AD21" s="81">
        <f>SUM(AA21:AC21)</f>
        <v>1465</v>
      </c>
      <c r="AE21" s="132">
        <v>0.25</v>
      </c>
      <c r="AF21" s="26">
        <f>AD21*AE21</f>
        <v>366.25</v>
      </c>
      <c r="AG21" s="132">
        <v>0.1</v>
      </c>
      <c r="AH21" s="26">
        <f>AD21*AG21</f>
        <v>146.5</v>
      </c>
      <c r="AI21" s="26">
        <f>SUM(AD21,AF21,AH21)</f>
        <v>1977.75</v>
      </c>
      <c r="AJ21" s="26"/>
      <c r="AK21" s="26"/>
      <c r="AL21" s="26"/>
      <c r="AM21" s="26"/>
    </row>
    <row r="22" spans="1:39" ht="12.75">
      <c r="A22" s="26">
        <v>64</v>
      </c>
      <c r="B22" s="138" t="s">
        <v>338</v>
      </c>
      <c r="C22" s="66" t="s">
        <v>339</v>
      </c>
      <c r="D22" s="66" t="s">
        <v>340</v>
      </c>
      <c r="E22" s="66">
        <v>1</v>
      </c>
      <c r="F22" s="66"/>
      <c r="G22" s="26" t="s">
        <v>123</v>
      </c>
      <c r="H22" s="81">
        <v>3625000</v>
      </c>
      <c r="I22" s="66">
        <f>H22*1.0829</f>
        <v>3925512.5</v>
      </c>
      <c r="J22" s="66">
        <f>CEILING(I22*1.03,1000)</f>
        <v>4044000</v>
      </c>
      <c r="K22" s="66">
        <v>4736000</v>
      </c>
      <c r="L22" s="66">
        <v>4736000</v>
      </c>
      <c r="M22" s="81">
        <v>4736000</v>
      </c>
      <c r="N22" s="81">
        <f>L22-M22</f>
        <v>0</v>
      </c>
      <c r="O22" s="26">
        <f>N22*0.38</f>
        <v>0</v>
      </c>
      <c r="P22" s="26">
        <f>M22+O22</f>
        <v>4736000</v>
      </c>
      <c r="Q22" s="26">
        <f>CEILING(P22,1000)</f>
        <v>4736000</v>
      </c>
      <c r="R22" s="81">
        <v>4736000</v>
      </c>
      <c r="S22" s="81" t="s">
        <v>267</v>
      </c>
      <c r="T22" s="81" t="s">
        <v>297</v>
      </c>
      <c r="U22" s="81">
        <v>13158000</v>
      </c>
      <c r="V22" s="81">
        <v>11057000</v>
      </c>
      <c r="W22" s="81">
        <f>U22-V22</f>
        <v>2101000</v>
      </c>
      <c r="X22" s="81">
        <f>W22*45%</f>
        <v>945450</v>
      </c>
      <c r="Y22" s="81">
        <f>SUM(V22,X22)</f>
        <v>12002450</v>
      </c>
      <c r="Z22" s="81">
        <f>ROUNDUP(Y22,-3)</f>
        <v>12003000</v>
      </c>
      <c r="AA22" s="81">
        <v>1465</v>
      </c>
      <c r="AB22" s="66"/>
      <c r="AC22" s="66"/>
      <c r="AD22" s="81">
        <f>SUM(AA22:AC22)</f>
        <v>1465</v>
      </c>
      <c r="AE22" s="132">
        <v>0.15</v>
      </c>
      <c r="AF22" s="26">
        <f>AD22*AE22</f>
        <v>219.75</v>
      </c>
      <c r="AG22" s="132">
        <v>0.1</v>
      </c>
      <c r="AH22" s="26">
        <f>AD22*AG22</f>
        <v>146.5</v>
      </c>
      <c r="AI22" s="26">
        <f>SUM(AD22,AF22,AH22)</f>
        <v>1831.25</v>
      </c>
      <c r="AJ22" s="26"/>
      <c r="AK22" s="26"/>
      <c r="AL22" s="26"/>
      <c r="AM22" s="26"/>
    </row>
    <row r="23" spans="1:39" ht="12.75">
      <c r="A23" s="26">
        <v>65</v>
      </c>
      <c r="B23" s="138" t="s">
        <v>338</v>
      </c>
      <c r="C23" s="66" t="s">
        <v>339</v>
      </c>
      <c r="D23" s="66" t="s">
        <v>344</v>
      </c>
      <c r="E23" s="66">
        <v>1</v>
      </c>
      <c r="F23" s="66"/>
      <c r="G23" s="26" t="s">
        <v>185</v>
      </c>
      <c r="H23" s="81"/>
      <c r="I23" s="66"/>
      <c r="J23" s="66"/>
      <c r="K23" s="66"/>
      <c r="L23" s="66"/>
      <c r="M23" s="81"/>
      <c r="N23" s="81"/>
      <c r="O23" s="26"/>
      <c r="P23" s="26"/>
      <c r="Q23" s="26"/>
      <c r="R23" s="81">
        <v>4264000</v>
      </c>
      <c r="S23" s="81"/>
      <c r="T23" s="81"/>
      <c r="U23" s="81"/>
      <c r="V23" s="81">
        <f>CEILING(R23*1.06,1000)</f>
        <v>4520000</v>
      </c>
      <c r="W23" s="81"/>
      <c r="X23" s="81">
        <f>W23*45%</f>
        <v>0</v>
      </c>
      <c r="Y23" s="81">
        <f>SUM(V23,X23)</f>
        <v>4520000</v>
      </c>
      <c r="Z23" s="81">
        <v>6098000</v>
      </c>
      <c r="AA23" s="81">
        <v>799</v>
      </c>
      <c r="AB23" s="66"/>
      <c r="AC23" s="81">
        <f>(AA23+AB23)*15%</f>
        <v>119.85</v>
      </c>
      <c r="AD23" s="81">
        <f>SUM(AA23:AC23)</f>
        <v>918.85</v>
      </c>
      <c r="AE23" s="132">
        <v>0.05</v>
      </c>
      <c r="AF23" s="26">
        <f>AD23*AE23</f>
        <v>45.9425</v>
      </c>
      <c r="AG23" s="132">
        <v>0.1</v>
      </c>
      <c r="AH23" s="26">
        <f>AD23*AG23</f>
        <v>91.885</v>
      </c>
      <c r="AI23" s="26">
        <f>SUM(AD23,AF23,AH23)</f>
        <v>1056.6775</v>
      </c>
      <c r="AJ23" s="26"/>
      <c r="AK23" s="26"/>
      <c r="AL23" s="26"/>
      <c r="AM23" s="26"/>
    </row>
    <row r="24" spans="1:37" ht="12.75">
      <c r="A24" s="26">
        <v>66</v>
      </c>
      <c r="B24" s="138" t="s">
        <v>338</v>
      </c>
      <c r="C24" s="66" t="s">
        <v>339</v>
      </c>
      <c r="D24" s="66" t="s">
        <v>340</v>
      </c>
      <c r="E24" s="66">
        <v>3</v>
      </c>
      <c r="F24" s="66"/>
      <c r="G24" s="26" t="s">
        <v>217</v>
      </c>
      <c r="H24" s="26"/>
      <c r="I24" s="66"/>
      <c r="J24" s="66"/>
      <c r="K24" s="81"/>
      <c r="L24" s="81"/>
      <c r="M24" s="81"/>
      <c r="N24" s="81"/>
      <c r="O24" s="26"/>
      <c r="P24" s="26"/>
      <c r="Q24" s="26"/>
      <c r="R24" s="81"/>
      <c r="S24" s="81"/>
      <c r="T24" s="81"/>
      <c r="U24" s="81"/>
      <c r="V24" s="81"/>
      <c r="W24" s="81"/>
      <c r="X24" s="81"/>
      <c r="Y24" s="81"/>
      <c r="Z24" s="81">
        <v>9738000</v>
      </c>
      <c r="AA24" s="81">
        <v>1190</v>
      </c>
      <c r="AB24" s="26"/>
      <c r="AC24" s="26"/>
      <c r="AD24" s="81">
        <f>SUM(AA24:AC24)</f>
        <v>1190</v>
      </c>
      <c r="AE24" s="132"/>
      <c r="AF24" s="26"/>
      <c r="AG24" s="26"/>
      <c r="AH24" s="26"/>
      <c r="AI24" s="26">
        <f>SUM(AD24,AF24,AH24)</f>
        <v>1190</v>
      </c>
      <c r="AJ24" s="26"/>
      <c r="AK24" s="26"/>
    </row>
    <row r="25" spans="1:37" ht="12.75">
      <c r="A25" s="26"/>
      <c r="B25" s="26"/>
      <c r="C25" s="66"/>
      <c r="D25" s="66"/>
      <c r="E25" s="66"/>
      <c r="F25" s="66"/>
      <c r="G25" s="26"/>
      <c r="H25" s="81"/>
      <c r="I25" s="66"/>
      <c r="J25" s="66"/>
      <c r="K25" s="66"/>
      <c r="L25" s="66"/>
      <c r="M25" s="66"/>
      <c r="N25" s="81"/>
      <c r="O25" s="26"/>
      <c r="P25" s="26"/>
      <c r="Q25" s="26"/>
      <c r="R25" s="26"/>
      <c r="S25" s="26"/>
      <c r="T25" s="26"/>
      <c r="U25" s="26"/>
      <c r="V25" s="26"/>
      <c r="W25" s="81"/>
      <c r="X25" s="81"/>
      <c r="Y25" s="81"/>
      <c r="Z25" s="81"/>
      <c r="AA25" s="81"/>
      <c r="AB25" s="66"/>
      <c r="AC25" s="66"/>
      <c r="AD25" s="26"/>
      <c r="AE25" s="26"/>
      <c r="AF25" s="26"/>
      <c r="AG25" s="26"/>
      <c r="AH25" s="26"/>
      <c r="AI25" s="26"/>
      <c r="AJ25" s="26"/>
      <c r="AK25" s="26"/>
    </row>
    <row r="26" spans="1:37" ht="12.75">
      <c r="A26" s="26"/>
      <c r="B26" s="425" t="s">
        <v>368</v>
      </c>
      <c r="C26" s="425"/>
      <c r="D26" s="425"/>
      <c r="E26" s="425"/>
      <c r="F26" s="425"/>
      <c r="G26" s="425"/>
      <c r="H26" s="81"/>
      <c r="I26" s="66"/>
      <c r="J26" s="66"/>
      <c r="K26" s="66"/>
      <c r="L26" s="66"/>
      <c r="M26" s="66"/>
      <c r="N26" s="81"/>
      <c r="O26" s="26"/>
      <c r="P26" s="26"/>
      <c r="Q26" s="26"/>
      <c r="R26" s="26"/>
      <c r="S26" s="26"/>
      <c r="T26" s="26"/>
      <c r="U26" s="26"/>
      <c r="V26" s="26"/>
      <c r="W26" s="81"/>
      <c r="X26" s="81"/>
      <c r="Y26" s="81"/>
      <c r="Z26" s="81"/>
      <c r="AA26" s="81"/>
      <c r="AB26" s="66"/>
      <c r="AC26" s="66"/>
      <c r="AD26" s="26"/>
      <c r="AE26" s="26"/>
      <c r="AF26" s="26"/>
      <c r="AG26" s="26"/>
      <c r="AH26" s="26"/>
      <c r="AI26" s="26"/>
      <c r="AJ26" s="26"/>
      <c r="AK26" s="26"/>
    </row>
    <row r="27" spans="1:37" ht="12.75">
      <c r="A27" s="26">
        <v>67</v>
      </c>
      <c r="B27" s="138" t="s">
        <v>338</v>
      </c>
      <c r="C27" s="66" t="s">
        <v>339</v>
      </c>
      <c r="D27" s="66" t="s">
        <v>340</v>
      </c>
      <c r="E27" s="66">
        <v>1</v>
      </c>
      <c r="F27" s="66" t="s">
        <v>33</v>
      </c>
      <c r="G27" s="26" t="s">
        <v>72</v>
      </c>
      <c r="H27" s="81">
        <v>4023000</v>
      </c>
      <c r="I27" s="66">
        <f>H27*1.0829</f>
        <v>4356506.7</v>
      </c>
      <c r="J27" s="66">
        <f>CEILING(I27*1.03,1000)</f>
        <v>4488000</v>
      </c>
      <c r="K27" s="66">
        <v>4993000</v>
      </c>
      <c r="L27" s="66">
        <v>8200000</v>
      </c>
      <c r="M27" s="81">
        <f>CEILING(K27*1.12,1000)</f>
        <v>5593000</v>
      </c>
      <c r="N27" s="81">
        <f>L27-M27</f>
        <v>2607000</v>
      </c>
      <c r="O27" s="26">
        <f>N27*0.38</f>
        <v>990660</v>
      </c>
      <c r="P27" s="26">
        <f>M27+O27</f>
        <v>6583660</v>
      </c>
      <c r="Q27" s="26">
        <v>8200000</v>
      </c>
      <c r="R27" s="81">
        <f>CEILING(Q27*1.06,1000)</f>
        <v>8692000</v>
      </c>
      <c r="S27" s="81" t="s">
        <v>267</v>
      </c>
      <c r="T27" s="81" t="s">
        <v>297</v>
      </c>
      <c r="U27" s="81">
        <v>13158000</v>
      </c>
      <c r="V27" s="81">
        <v>11057000</v>
      </c>
      <c r="W27" s="81">
        <f>U27-V27</f>
        <v>2101000</v>
      </c>
      <c r="X27" s="81">
        <f>W27*45%</f>
        <v>945450</v>
      </c>
      <c r="Y27" s="81">
        <f>SUM(V27,X27)</f>
        <v>12002450</v>
      </c>
      <c r="Z27" s="81">
        <f>ROUNDUP(Y27,-3)</f>
        <v>12003000</v>
      </c>
      <c r="AA27" s="81">
        <v>1465</v>
      </c>
      <c r="AB27" s="81">
        <f>AA27*30%</f>
        <v>439.5</v>
      </c>
      <c r="AC27" s="66"/>
      <c r="AD27" s="81">
        <f aca="true" t="shared" si="0" ref="AD27:AD34">SUM(AA27:AC27)</f>
        <v>1904.5</v>
      </c>
      <c r="AE27" s="132">
        <v>0.25</v>
      </c>
      <c r="AF27" s="26">
        <f>AD27*AE27</f>
        <v>476.125</v>
      </c>
      <c r="AG27" s="132"/>
      <c r="AH27" s="26"/>
      <c r="AI27" s="26">
        <f aca="true" t="shared" si="1" ref="AI27:AI34">SUM(AD27,AF27,AH27)</f>
        <v>2380.625</v>
      </c>
      <c r="AJ27" s="26"/>
      <c r="AK27" s="26"/>
    </row>
    <row r="28" spans="1:37" ht="12.75">
      <c r="A28" s="26">
        <v>68</v>
      </c>
      <c r="B28" s="138" t="s">
        <v>338</v>
      </c>
      <c r="C28" s="66" t="s">
        <v>339</v>
      </c>
      <c r="D28" s="66" t="s">
        <v>340</v>
      </c>
      <c r="E28" s="66">
        <v>1</v>
      </c>
      <c r="F28" s="66"/>
      <c r="G28" s="26" t="s">
        <v>73</v>
      </c>
      <c r="H28" s="81">
        <v>4023000</v>
      </c>
      <c r="I28" s="66">
        <f>H28*1.0829</f>
        <v>4356506.7</v>
      </c>
      <c r="J28" s="66">
        <f>CEILING(I28*1.03,1000)</f>
        <v>4488000</v>
      </c>
      <c r="K28" s="66">
        <v>4993000</v>
      </c>
      <c r="L28" s="66">
        <v>8200000</v>
      </c>
      <c r="M28" s="81">
        <f>CEILING(K28*1.12,1000)</f>
        <v>5593000</v>
      </c>
      <c r="N28" s="81">
        <f>L28-M28</f>
        <v>2607000</v>
      </c>
      <c r="O28" s="26">
        <f>N28*0.38</f>
        <v>990660</v>
      </c>
      <c r="P28" s="26">
        <f>M28+O28</f>
        <v>6583660</v>
      </c>
      <c r="Q28" s="26">
        <v>8200000</v>
      </c>
      <c r="R28" s="81">
        <f>CEILING(Q28*1.06,1000)</f>
        <v>8692000</v>
      </c>
      <c r="S28" s="81" t="s">
        <v>267</v>
      </c>
      <c r="T28" s="81" t="s">
        <v>297</v>
      </c>
      <c r="U28" s="81">
        <v>13158000</v>
      </c>
      <c r="V28" s="81">
        <v>11057000</v>
      </c>
      <c r="W28" s="81">
        <f>U28-V28</f>
        <v>2101000</v>
      </c>
      <c r="X28" s="81">
        <f>W28*45%</f>
        <v>945450</v>
      </c>
      <c r="Y28" s="81">
        <f>SUM(V28,X28)</f>
        <v>12002450</v>
      </c>
      <c r="Z28" s="81">
        <f>ROUNDUP(Y28,-3)</f>
        <v>12003000</v>
      </c>
      <c r="AA28" s="81">
        <v>1465</v>
      </c>
      <c r="AB28" s="66"/>
      <c r="AC28" s="66"/>
      <c r="AD28" s="81">
        <f t="shared" si="0"/>
        <v>1465</v>
      </c>
      <c r="AE28" s="132">
        <v>0.25</v>
      </c>
      <c r="AF28" s="26">
        <f>AD28*AE28</f>
        <v>366.25</v>
      </c>
      <c r="AG28" s="26"/>
      <c r="AH28" s="26"/>
      <c r="AI28" s="26">
        <f t="shared" si="1"/>
        <v>1831.25</v>
      </c>
      <c r="AJ28" s="26"/>
      <c r="AK28" s="26"/>
    </row>
    <row r="29" spans="1:37" ht="12.75">
      <c r="A29" s="26">
        <v>69</v>
      </c>
      <c r="B29" s="138" t="s">
        <v>338</v>
      </c>
      <c r="C29" s="66" t="s">
        <v>339</v>
      </c>
      <c r="D29" s="66" t="s">
        <v>340</v>
      </c>
      <c r="E29" s="66">
        <v>1</v>
      </c>
      <c r="F29" s="66"/>
      <c r="G29" s="26" t="s">
        <v>74</v>
      </c>
      <c r="H29" s="81">
        <v>3556000</v>
      </c>
      <c r="I29" s="66">
        <f>H29*1.0829</f>
        <v>3850792.4</v>
      </c>
      <c r="J29" s="66">
        <f>CEILING(I29*1.03,1000)</f>
        <v>3967000</v>
      </c>
      <c r="K29" s="66">
        <v>4993000</v>
      </c>
      <c r="L29" s="66">
        <v>8200000</v>
      </c>
      <c r="M29" s="81">
        <f>CEILING(K29*1.12,1000)</f>
        <v>5593000</v>
      </c>
      <c r="N29" s="81">
        <f>L29-M29</f>
        <v>2607000</v>
      </c>
      <c r="O29" s="26">
        <f>N29*0.38</f>
        <v>990660</v>
      </c>
      <c r="P29" s="26">
        <f>M29+O29</f>
        <v>6583660</v>
      </c>
      <c r="Q29" s="26">
        <v>8200000</v>
      </c>
      <c r="R29" s="81">
        <f>CEILING(Q29*1.06,1000)</f>
        <v>8692000</v>
      </c>
      <c r="S29" s="81" t="s">
        <v>272</v>
      </c>
      <c r="T29" s="81" t="s">
        <v>297</v>
      </c>
      <c r="U29" s="81">
        <v>13158000</v>
      </c>
      <c r="V29" s="81">
        <v>11057000</v>
      </c>
      <c r="W29" s="81">
        <f>U29-V29</f>
        <v>2101000</v>
      </c>
      <c r="X29" s="81">
        <f>W29*45%</f>
        <v>945450</v>
      </c>
      <c r="Y29" s="81">
        <f>SUM(V29,X29)</f>
        <v>12002450</v>
      </c>
      <c r="Z29" s="81">
        <f>ROUNDUP(Y29,-3)</f>
        <v>12003000</v>
      </c>
      <c r="AA29" s="81">
        <v>1465</v>
      </c>
      <c r="AB29" s="66"/>
      <c r="AC29" s="66"/>
      <c r="AD29" s="81">
        <f t="shared" si="0"/>
        <v>1465</v>
      </c>
      <c r="AE29" s="132">
        <v>0.15</v>
      </c>
      <c r="AF29" s="26">
        <f>AD29*AE29</f>
        <v>219.75</v>
      </c>
      <c r="AG29" s="26"/>
      <c r="AH29" s="26"/>
      <c r="AI29" s="26">
        <f t="shared" si="1"/>
        <v>1684.75</v>
      </c>
      <c r="AJ29" s="26"/>
      <c r="AK29" s="26"/>
    </row>
    <row r="30" spans="1:37" ht="12.75">
      <c r="A30" s="26">
        <v>70</v>
      </c>
      <c r="B30" s="138" t="s">
        <v>338</v>
      </c>
      <c r="C30" s="66" t="s">
        <v>339</v>
      </c>
      <c r="D30" s="66" t="s">
        <v>340</v>
      </c>
      <c r="E30" s="66">
        <v>2</v>
      </c>
      <c r="F30" s="66"/>
      <c r="G30" s="26" t="s">
        <v>248</v>
      </c>
      <c r="H30" s="81">
        <v>3089000</v>
      </c>
      <c r="I30" s="66">
        <f>H30*1.0829</f>
        <v>3345078.1</v>
      </c>
      <c r="J30" s="66">
        <f>CEILING(I30*1.03,1000)</f>
        <v>3446000</v>
      </c>
      <c r="K30" s="66">
        <v>4414000</v>
      </c>
      <c r="L30" s="66">
        <v>7405000</v>
      </c>
      <c r="M30" s="81">
        <f>CEILING(K30*1.12,1000)</f>
        <v>4944000</v>
      </c>
      <c r="N30" s="81">
        <f>L30-M30</f>
        <v>2461000</v>
      </c>
      <c r="O30" s="26">
        <f>N30*0.38</f>
        <v>935180</v>
      </c>
      <c r="P30" s="26">
        <f>M30+O30</f>
        <v>5879180</v>
      </c>
      <c r="Q30" s="26">
        <v>7405000</v>
      </c>
      <c r="R30" s="81">
        <f>CEILING(Q30*1.06,1000)</f>
        <v>7850000</v>
      </c>
      <c r="S30" s="81" t="s">
        <v>270</v>
      </c>
      <c r="T30" s="81" t="s">
        <v>300</v>
      </c>
      <c r="U30" s="81">
        <v>11784000</v>
      </c>
      <c r="V30" s="81">
        <v>9902000</v>
      </c>
      <c r="W30" s="81">
        <f>U30-V30</f>
        <v>1882000</v>
      </c>
      <c r="X30" s="81">
        <f>W30*45%</f>
        <v>846900</v>
      </c>
      <c r="Y30" s="81">
        <f>SUM(V30,X30)</f>
        <v>10748900</v>
      </c>
      <c r="Z30" s="81">
        <f>ROUNDUP(Y30,-3)</f>
        <v>10749000</v>
      </c>
      <c r="AA30" s="81">
        <v>1313</v>
      </c>
      <c r="AB30" s="66"/>
      <c r="AC30" s="66"/>
      <c r="AD30" s="81">
        <f t="shared" si="0"/>
        <v>1313</v>
      </c>
      <c r="AE30" s="132">
        <v>0.1</v>
      </c>
      <c r="AF30" s="26">
        <f>AD30*AE30</f>
        <v>131.3</v>
      </c>
      <c r="AG30" s="26"/>
      <c r="AH30" s="26"/>
      <c r="AI30" s="26">
        <f t="shared" si="1"/>
        <v>1444.3</v>
      </c>
      <c r="AJ30" s="26"/>
      <c r="AK30" s="26"/>
    </row>
    <row r="31" spans="1:37" ht="12.75">
      <c r="A31" s="26">
        <v>71</v>
      </c>
      <c r="B31" s="138" t="s">
        <v>350</v>
      </c>
      <c r="C31" s="66" t="s">
        <v>339</v>
      </c>
      <c r="D31" s="66" t="s">
        <v>340</v>
      </c>
      <c r="E31" s="66">
        <v>2</v>
      </c>
      <c r="F31" s="66"/>
      <c r="G31" s="26" t="s">
        <v>83</v>
      </c>
      <c r="H31" s="81">
        <v>2767000</v>
      </c>
      <c r="I31" s="66">
        <f>H31*1.0829</f>
        <v>2996384.3</v>
      </c>
      <c r="J31" s="66">
        <v>3122000</v>
      </c>
      <c r="K31" s="66">
        <v>3474000</v>
      </c>
      <c r="L31" s="66">
        <v>6013000</v>
      </c>
      <c r="M31" s="81">
        <f>CEILING(K31*1.12,1000)</f>
        <v>3891000</v>
      </c>
      <c r="N31" s="81">
        <f>L31-M31</f>
        <v>2122000</v>
      </c>
      <c r="O31" s="26">
        <f>N31*0.38</f>
        <v>806360</v>
      </c>
      <c r="P31" s="26">
        <f>M31+O31</f>
        <v>4697360</v>
      </c>
      <c r="Q31" s="26">
        <v>6013000</v>
      </c>
      <c r="R31" s="81">
        <f>CEILING(Q31*1.06,1000)</f>
        <v>6374000</v>
      </c>
      <c r="S31" s="81" t="s">
        <v>252</v>
      </c>
      <c r="T31" s="81" t="s">
        <v>308</v>
      </c>
      <c r="U31" s="81">
        <v>9569000</v>
      </c>
      <c r="V31" s="81">
        <v>8041000</v>
      </c>
      <c r="W31" s="81">
        <f>U31-V31</f>
        <v>1528000</v>
      </c>
      <c r="X31" s="81">
        <f>W31*45%</f>
        <v>687600</v>
      </c>
      <c r="Y31" s="81">
        <f>SUM(V31,X31)</f>
        <v>8728600</v>
      </c>
      <c r="Z31" s="81">
        <v>9738000</v>
      </c>
      <c r="AA31" s="81">
        <v>1313</v>
      </c>
      <c r="AB31" s="66"/>
      <c r="AC31" s="81"/>
      <c r="AD31" s="81">
        <f t="shared" si="0"/>
        <v>1313</v>
      </c>
      <c r="AE31" s="132">
        <v>0.15</v>
      </c>
      <c r="AF31" s="26">
        <f>AD31*AE31</f>
        <v>196.95</v>
      </c>
      <c r="AG31" s="26"/>
      <c r="AH31" s="26"/>
      <c r="AI31" s="26">
        <f t="shared" si="1"/>
        <v>1509.95</v>
      </c>
      <c r="AJ31" s="26"/>
      <c r="AK31" s="26"/>
    </row>
    <row r="32" spans="1:37" ht="12.75">
      <c r="A32" s="26">
        <v>72</v>
      </c>
      <c r="B32" s="138" t="s">
        <v>338</v>
      </c>
      <c r="C32" s="66" t="s">
        <v>339</v>
      </c>
      <c r="D32" s="66" t="s">
        <v>344</v>
      </c>
      <c r="E32" s="66">
        <v>3</v>
      </c>
      <c r="F32" s="66"/>
      <c r="G32" s="26" t="s">
        <v>448</v>
      </c>
      <c r="H32" s="81"/>
      <c r="I32" s="66"/>
      <c r="J32" s="66"/>
      <c r="K32" s="66"/>
      <c r="L32" s="66"/>
      <c r="M32" s="81"/>
      <c r="N32" s="81"/>
      <c r="O32" s="26"/>
      <c r="P32" s="26"/>
      <c r="Q32" s="26"/>
      <c r="R32" s="81"/>
      <c r="S32" s="81"/>
      <c r="T32" s="81"/>
      <c r="U32" s="81"/>
      <c r="V32" s="81"/>
      <c r="W32" s="81"/>
      <c r="X32" s="81"/>
      <c r="Y32" s="81"/>
      <c r="Z32" s="81">
        <v>4375000</v>
      </c>
      <c r="AA32" s="81">
        <v>693</v>
      </c>
      <c r="AB32" s="66"/>
      <c r="AC32" s="81"/>
      <c r="AD32" s="81">
        <f t="shared" si="0"/>
        <v>693</v>
      </c>
      <c r="AE32" s="132"/>
      <c r="AF32" s="26"/>
      <c r="AG32" s="26"/>
      <c r="AH32" s="26"/>
      <c r="AI32" s="26">
        <f t="shared" si="1"/>
        <v>693</v>
      </c>
      <c r="AJ32" s="26"/>
      <c r="AK32" s="26"/>
    </row>
    <row r="33" spans="1:37" ht="12.75">
      <c r="A33" s="26">
        <v>73</v>
      </c>
      <c r="B33" s="138" t="s">
        <v>338</v>
      </c>
      <c r="C33" s="66" t="s">
        <v>339</v>
      </c>
      <c r="D33" s="66" t="s">
        <v>355</v>
      </c>
      <c r="E33" s="66"/>
      <c r="F33" s="66"/>
      <c r="G33" s="26" t="s">
        <v>217</v>
      </c>
      <c r="H33" s="81"/>
      <c r="I33" s="66"/>
      <c r="J33" s="66"/>
      <c r="K33" s="66"/>
      <c r="L33" s="66"/>
      <c r="M33" s="81"/>
      <c r="N33" s="81"/>
      <c r="O33" s="26"/>
      <c r="P33" s="26"/>
      <c r="Q33" s="26"/>
      <c r="R33" s="81"/>
      <c r="S33" s="81"/>
      <c r="T33" s="81"/>
      <c r="U33" s="81"/>
      <c r="V33" s="81"/>
      <c r="W33" s="81"/>
      <c r="X33" s="81"/>
      <c r="Y33" s="81"/>
      <c r="Z33" s="81">
        <v>4375000</v>
      </c>
      <c r="AA33" s="81">
        <v>533</v>
      </c>
      <c r="AB33" s="66"/>
      <c r="AC33" s="81"/>
      <c r="AD33" s="81">
        <f t="shared" si="0"/>
        <v>533</v>
      </c>
      <c r="AE33" s="132"/>
      <c r="AF33" s="26"/>
      <c r="AG33" s="26"/>
      <c r="AH33" s="26"/>
      <c r="AI33" s="26">
        <f t="shared" si="1"/>
        <v>533</v>
      </c>
      <c r="AJ33" s="26"/>
      <c r="AK33" s="26"/>
    </row>
    <row r="34" spans="1:37" ht="12.75">
      <c r="A34" s="26">
        <v>74</v>
      </c>
      <c r="B34" s="138" t="s">
        <v>338</v>
      </c>
      <c r="C34" s="66" t="s">
        <v>339</v>
      </c>
      <c r="D34" s="66" t="s">
        <v>355</v>
      </c>
      <c r="E34" s="66"/>
      <c r="F34" s="66"/>
      <c r="G34" s="26" t="s">
        <v>217</v>
      </c>
      <c r="H34" s="81"/>
      <c r="I34" s="66"/>
      <c r="J34" s="66"/>
      <c r="K34" s="66"/>
      <c r="L34" s="66"/>
      <c r="M34" s="81"/>
      <c r="N34" s="81"/>
      <c r="O34" s="26"/>
      <c r="P34" s="26"/>
      <c r="Q34" s="26"/>
      <c r="R34" s="81"/>
      <c r="S34" s="81"/>
      <c r="T34" s="81"/>
      <c r="U34" s="81"/>
      <c r="V34" s="81"/>
      <c r="W34" s="81"/>
      <c r="X34" s="81"/>
      <c r="Y34" s="81"/>
      <c r="Z34" s="81">
        <v>4375000</v>
      </c>
      <c r="AA34" s="81">
        <v>533</v>
      </c>
      <c r="AB34" s="66"/>
      <c r="AC34" s="81"/>
      <c r="AD34" s="81">
        <f t="shared" si="0"/>
        <v>533</v>
      </c>
      <c r="AE34" s="132"/>
      <c r="AF34" s="26"/>
      <c r="AG34" s="26"/>
      <c r="AH34" s="26"/>
      <c r="AI34" s="26">
        <f t="shared" si="1"/>
        <v>533</v>
      </c>
      <c r="AJ34" s="26"/>
      <c r="AK34" s="26"/>
    </row>
    <row r="35" spans="1:37" ht="12.75">
      <c r="A35" s="26"/>
      <c r="B35" s="138"/>
      <c r="C35" s="66"/>
      <c r="D35" s="66"/>
      <c r="E35" s="66"/>
      <c r="F35" s="66"/>
      <c r="G35" s="26"/>
      <c r="H35" s="81"/>
      <c r="I35" s="66"/>
      <c r="J35" s="66"/>
      <c r="K35" s="66"/>
      <c r="L35" s="66"/>
      <c r="M35" s="81"/>
      <c r="N35" s="81"/>
      <c r="O35" s="26"/>
      <c r="P35" s="26"/>
      <c r="Q35" s="26"/>
      <c r="R35" s="81"/>
      <c r="S35" s="81"/>
      <c r="T35" s="81"/>
      <c r="U35" s="81"/>
      <c r="V35" s="81"/>
      <c r="W35" s="81"/>
      <c r="X35" s="81"/>
      <c r="Y35" s="81"/>
      <c r="Z35" s="81"/>
      <c r="AA35" s="81"/>
      <c r="AB35" s="66"/>
      <c r="AC35" s="81"/>
      <c r="AD35" s="26"/>
      <c r="AE35" s="132"/>
      <c r="AF35" s="26"/>
      <c r="AG35" s="26"/>
      <c r="AH35" s="26"/>
      <c r="AI35" s="26"/>
      <c r="AJ35" s="26"/>
      <c r="AK35" s="26"/>
    </row>
    <row r="36" spans="1:37" ht="12.75">
      <c r="A36" s="26"/>
      <c r="B36" s="138" t="s">
        <v>369</v>
      </c>
      <c r="C36" s="66"/>
      <c r="D36" s="66"/>
      <c r="E36" s="66"/>
      <c r="F36" s="66"/>
      <c r="G36" s="26"/>
      <c r="H36" s="81"/>
      <c r="I36" s="66"/>
      <c r="J36" s="66"/>
      <c r="K36" s="66"/>
      <c r="L36" s="66"/>
      <c r="M36" s="81"/>
      <c r="N36" s="81"/>
      <c r="O36" s="26"/>
      <c r="P36" s="26"/>
      <c r="Q36" s="26"/>
      <c r="R36" s="81"/>
      <c r="S36" s="81"/>
      <c r="T36" s="81"/>
      <c r="U36" s="81"/>
      <c r="V36" s="81"/>
      <c r="W36" s="81"/>
      <c r="X36" s="81"/>
      <c r="Y36" s="81"/>
      <c r="Z36" s="81"/>
      <c r="AA36" s="81"/>
      <c r="AB36" s="66"/>
      <c r="AC36" s="81"/>
      <c r="AD36" s="26"/>
      <c r="AE36" s="132"/>
      <c r="AF36" s="26"/>
      <c r="AG36" s="26"/>
      <c r="AH36" s="26"/>
      <c r="AI36" s="26"/>
      <c r="AJ36" s="26"/>
      <c r="AK36" s="26"/>
    </row>
    <row r="37" spans="1:37" ht="12.75">
      <c r="A37" s="26">
        <v>75</v>
      </c>
      <c r="B37" s="138" t="s">
        <v>338</v>
      </c>
      <c r="C37" s="66" t="s">
        <v>339</v>
      </c>
      <c r="D37" s="66" t="s">
        <v>340</v>
      </c>
      <c r="E37" s="66">
        <v>1</v>
      </c>
      <c r="F37" s="66" t="s">
        <v>444</v>
      </c>
      <c r="G37" s="26" t="s">
        <v>130</v>
      </c>
      <c r="H37" s="81">
        <v>3089000</v>
      </c>
      <c r="I37" s="66">
        <f aca="true" t="shared" si="2" ref="I37:I42">H37*1.0829</f>
        <v>3345078.1</v>
      </c>
      <c r="J37" s="66">
        <f aca="true" t="shared" si="3" ref="J37:J42">CEILING(I37*1.03,1000)</f>
        <v>3446000</v>
      </c>
      <c r="K37" s="66">
        <v>4414000</v>
      </c>
      <c r="L37" s="66">
        <v>7405000</v>
      </c>
      <c r="M37" s="81">
        <f>CEILING(K37*1.12,1000)</f>
        <v>4944000</v>
      </c>
      <c r="N37" s="81">
        <f>L37-M37</f>
        <v>2461000</v>
      </c>
      <c r="O37" s="26">
        <f>N37*0.38</f>
        <v>935180</v>
      </c>
      <c r="P37" s="26">
        <f>M37+O37</f>
        <v>5879180</v>
      </c>
      <c r="Q37" s="26">
        <v>7405000</v>
      </c>
      <c r="R37" s="81">
        <f aca="true" t="shared" si="4" ref="R37:R42">CEILING(Q37*1.06,1000)</f>
        <v>7850000</v>
      </c>
      <c r="S37" s="81" t="s">
        <v>270</v>
      </c>
      <c r="T37" s="81" t="s">
        <v>300</v>
      </c>
      <c r="U37" s="81">
        <v>11784000</v>
      </c>
      <c r="V37" s="81">
        <v>9902000</v>
      </c>
      <c r="W37" s="81">
        <f aca="true" t="shared" si="5" ref="W37:W42">U37-V37</f>
        <v>1882000</v>
      </c>
      <c r="X37" s="81">
        <f aca="true" t="shared" si="6" ref="X37:X42">W37*45%</f>
        <v>846900</v>
      </c>
      <c r="Y37" s="81">
        <f aca="true" t="shared" si="7" ref="Y37:Y42">SUM(V37,X37)</f>
        <v>10748900</v>
      </c>
      <c r="Z37" s="81">
        <f aca="true" t="shared" si="8" ref="Z37:Z42">ROUNDUP(Y37,-3)</f>
        <v>10749000</v>
      </c>
      <c r="AA37" s="81">
        <v>1465</v>
      </c>
      <c r="AB37" s="81">
        <f>AA37*25%</f>
        <v>366.25</v>
      </c>
      <c r="AC37" s="63"/>
      <c r="AD37" s="81">
        <f aca="true" t="shared" si="9" ref="AD37:AD42">SUM(AA37:AC37)</f>
        <v>1831.25</v>
      </c>
      <c r="AE37" s="132">
        <v>0.15</v>
      </c>
      <c r="AF37" s="26">
        <f aca="true" t="shared" si="10" ref="AF37:AF42">AD37*AE37</f>
        <v>274.6875</v>
      </c>
      <c r="AG37" s="132"/>
      <c r="AH37" s="26"/>
      <c r="AI37" s="26">
        <f aca="true" t="shared" si="11" ref="AI37:AI42">SUM(AD37,AF37,AH37)</f>
        <v>2105.9375</v>
      </c>
      <c r="AJ37" s="26"/>
      <c r="AK37" s="26"/>
    </row>
    <row r="38" spans="1:37" ht="12" customHeight="1">
      <c r="A38" s="26">
        <v>76</v>
      </c>
      <c r="B38" s="138" t="s">
        <v>338</v>
      </c>
      <c r="C38" s="66" t="s">
        <v>339</v>
      </c>
      <c r="D38" s="66" t="s">
        <v>343</v>
      </c>
      <c r="E38" s="66">
        <v>3</v>
      </c>
      <c r="F38" s="66"/>
      <c r="G38" s="26" t="s">
        <v>370</v>
      </c>
      <c r="H38" s="81">
        <v>2624000</v>
      </c>
      <c r="I38" s="66">
        <f t="shared" si="2"/>
        <v>2841529.6</v>
      </c>
      <c r="J38" s="66">
        <f t="shared" si="3"/>
        <v>2927000</v>
      </c>
      <c r="K38" s="66">
        <v>4254000</v>
      </c>
      <c r="L38" s="66">
        <v>4532000</v>
      </c>
      <c r="M38" s="81">
        <v>3369000</v>
      </c>
      <c r="N38" s="81">
        <f>L38-M38</f>
        <v>1163000</v>
      </c>
      <c r="O38" s="26">
        <f>N38*0.38</f>
        <v>441940</v>
      </c>
      <c r="P38" s="26">
        <f>M38+O38</f>
        <v>3810940</v>
      </c>
      <c r="Q38" s="26">
        <v>4254000</v>
      </c>
      <c r="R38" s="81">
        <f t="shared" si="4"/>
        <v>4510000</v>
      </c>
      <c r="S38" s="81" t="s">
        <v>275</v>
      </c>
      <c r="T38" s="81" t="s">
        <v>302</v>
      </c>
      <c r="U38" s="81">
        <v>7162000</v>
      </c>
      <c r="V38" s="81">
        <v>6018000</v>
      </c>
      <c r="W38" s="81">
        <f t="shared" si="5"/>
        <v>1144000</v>
      </c>
      <c r="X38" s="81">
        <f t="shared" si="6"/>
        <v>514800</v>
      </c>
      <c r="Y38" s="81">
        <f t="shared" si="7"/>
        <v>6532800</v>
      </c>
      <c r="Z38" s="81">
        <f t="shared" si="8"/>
        <v>6533000</v>
      </c>
      <c r="AA38" s="81">
        <v>887</v>
      </c>
      <c r="AB38" s="66"/>
      <c r="AC38" s="81">
        <f>(AA38+AB38)*15%</f>
        <v>133.04999999999998</v>
      </c>
      <c r="AD38" s="81">
        <f>SUM(AA38:AC38)</f>
        <v>1020.05</v>
      </c>
      <c r="AE38" s="132">
        <v>0.1</v>
      </c>
      <c r="AF38" s="26">
        <f t="shared" si="10"/>
        <v>102.005</v>
      </c>
      <c r="AG38" s="26"/>
      <c r="AH38" s="26"/>
      <c r="AI38" s="26">
        <f t="shared" si="11"/>
        <v>1122.0549999999998</v>
      </c>
      <c r="AJ38" s="26"/>
      <c r="AK38" s="26"/>
    </row>
    <row r="39" spans="1:37" ht="12.75">
      <c r="A39" s="26">
        <v>77</v>
      </c>
      <c r="B39" s="138" t="s">
        <v>354</v>
      </c>
      <c r="C39" s="66" t="s">
        <v>353</v>
      </c>
      <c r="D39" s="66" t="s">
        <v>340</v>
      </c>
      <c r="E39" s="66">
        <v>1</v>
      </c>
      <c r="F39" s="66"/>
      <c r="G39" s="26" t="s">
        <v>84</v>
      </c>
      <c r="H39" s="81">
        <v>2857000</v>
      </c>
      <c r="I39" s="66">
        <f t="shared" si="2"/>
        <v>3093845.3</v>
      </c>
      <c r="J39" s="66">
        <f t="shared" si="3"/>
        <v>3187000</v>
      </c>
      <c r="K39" s="66">
        <v>3546000</v>
      </c>
      <c r="L39" s="66">
        <v>7405000</v>
      </c>
      <c r="M39" s="81">
        <f>CEILING(K39*1.12,1000)</f>
        <v>3972000</v>
      </c>
      <c r="N39" s="81">
        <f>L39-M39</f>
        <v>3433000</v>
      </c>
      <c r="O39" s="26">
        <f>N39*0.38</f>
        <v>1304540</v>
      </c>
      <c r="P39" s="26">
        <f>M39+O39</f>
        <v>5276540</v>
      </c>
      <c r="Q39" s="26">
        <v>7405000</v>
      </c>
      <c r="R39" s="81">
        <f t="shared" si="4"/>
        <v>7850000</v>
      </c>
      <c r="S39" s="81" t="s">
        <v>254</v>
      </c>
      <c r="T39" s="81" t="s">
        <v>298</v>
      </c>
      <c r="U39" s="81">
        <v>11289000</v>
      </c>
      <c r="V39" s="81">
        <v>9902000</v>
      </c>
      <c r="W39" s="81">
        <f t="shared" si="5"/>
        <v>1387000</v>
      </c>
      <c r="X39" s="81">
        <f t="shared" si="6"/>
        <v>624150</v>
      </c>
      <c r="Y39" s="81">
        <f t="shared" si="7"/>
        <v>10526150</v>
      </c>
      <c r="Z39" s="81">
        <f t="shared" si="8"/>
        <v>10527000</v>
      </c>
      <c r="AA39" s="81">
        <v>1258</v>
      </c>
      <c r="AB39" s="66"/>
      <c r="AC39" s="66"/>
      <c r="AD39" s="81">
        <f t="shared" si="9"/>
        <v>1258</v>
      </c>
      <c r="AE39" s="132">
        <v>0.2</v>
      </c>
      <c r="AF39" s="26">
        <f t="shared" si="10"/>
        <v>251.60000000000002</v>
      </c>
      <c r="AG39" s="26"/>
      <c r="AH39" s="26"/>
      <c r="AI39" s="26">
        <f t="shared" si="11"/>
        <v>1509.6</v>
      </c>
      <c r="AJ39" s="26"/>
      <c r="AK39" s="26"/>
    </row>
    <row r="40" spans="1:37" ht="12.75">
      <c r="A40" s="26">
        <v>78</v>
      </c>
      <c r="B40" s="138" t="s">
        <v>374</v>
      </c>
      <c r="C40" s="66" t="s">
        <v>345</v>
      </c>
      <c r="D40" s="66" t="s">
        <v>340</v>
      </c>
      <c r="E40" s="66">
        <v>1</v>
      </c>
      <c r="F40" s="66"/>
      <c r="G40" s="26" t="s">
        <v>76</v>
      </c>
      <c r="H40" s="81">
        <v>2624000</v>
      </c>
      <c r="I40" s="66">
        <f t="shared" si="2"/>
        <v>2841529.6</v>
      </c>
      <c r="J40" s="66">
        <f t="shared" si="3"/>
        <v>2927000</v>
      </c>
      <c r="K40" s="66">
        <v>3257000</v>
      </c>
      <c r="L40" s="66">
        <v>4532000</v>
      </c>
      <c r="M40" s="81">
        <f>CEILING(K40*1.12,1000)</f>
        <v>3648000</v>
      </c>
      <c r="N40" s="81">
        <f>L40-M40</f>
        <v>884000</v>
      </c>
      <c r="O40" s="26">
        <f>N40*0.38</f>
        <v>335920</v>
      </c>
      <c r="P40" s="26">
        <f>M40+O40</f>
        <v>3983920</v>
      </c>
      <c r="Q40" s="26">
        <v>4532000</v>
      </c>
      <c r="R40" s="81">
        <f t="shared" si="4"/>
        <v>4804000</v>
      </c>
      <c r="S40" s="81" t="s">
        <v>257</v>
      </c>
      <c r="T40" s="81" t="s">
        <v>301</v>
      </c>
      <c r="U40" s="81">
        <v>7201000</v>
      </c>
      <c r="V40" s="81">
        <v>6316000</v>
      </c>
      <c r="W40" s="81">
        <f t="shared" si="5"/>
        <v>885000</v>
      </c>
      <c r="X40" s="81">
        <f t="shared" si="6"/>
        <v>398250</v>
      </c>
      <c r="Y40" s="81">
        <f t="shared" si="7"/>
        <v>6714250</v>
      </c>
      <c r="Z40" s="81">
        <f t="shared" si="8"/>
        <v>6715000</v>
      </c>
      <c r="AA40" s="81">
        <v>804</v>
      </c>
      <c r="AB40" s="66"/>
      <c r="AD40" s="81">
        <f t="shared" si="9"/>
        <v>804</v>
      </c>
      <c r="AE40" s="132">
        <v>0.25</v>
      </c>
      <c r="AF40" s="26">
        <f t="shared" si="10"/>
        <v>201</v>
      </c>
      <c r="AG40" s="26"/>
      <c r="AH40" s="26"/>
      <c r="AI40" s="26">
        <f t="shared" si="11"/>
        <v>1005</v>
      </c>
      <c r="AJ40" s="26"/>
      <c r="AK40" s="26"/>
    </row>
    <row r="41" spans="1:37" ht="12.75">
      <c r="A41" s="26">
        <v>79</v>
      </c>
      <c r="B41" s="138" t="s">
        <v>374</v>
      </c>
      <c r="C41" s="66" t="s">
        <v>345</v>
      </c>
      <c r="D41" s="66" t="s">
        <v>340</v>
      </c>
      <c r="E41" s="66">
        <v>1</v>
      </c>
      <c r="F41" s="66"/>
      <c r="G41" s="26" t="s">
        <v>77</v>
      </c>
      <c r="H41" s="81">
        <v>2449000</v>
      </c>
      <c r="I41" s="66">
        <f t="shared" si="2"/>
        <v>2652022.1</v>
      </c>
      <c r="J41" s="66">
        <f t="shared" si="3"/>
        <v>2732000</v>
      </c>
      <c r="K41" s="66">
        <v>3257000</v>
      </c>
      <c r="L41" s="66">
        <v>4532000</v>
      </c>
      <c r="M41" s="81">
        <f>CEILING(K41*1.12,1000)</f>
        <v>3648000</v>
      </c>
      <c r="N41" s="81">
        <f>L41-M41</f>
        <v>884000</v>
      </c>
      <c r="O41" s="26">
        <f>N41*0.38</f>
        <v>335920</v>
      </c>
      <c r="P41" s="26">
        <f>M41+O41</f>
        <v>3983920</v>
      </c>
      <c r="Q41" s="26">
        <v>4532000</v>
      </c>
      <c r="R41" s="81">
        <f t="shared" si="4"/>
        <v>4804000</v>
      </c>
      <c r="S41" s="81" t="s">
        <v>258</v>
      </c>
      <c r="T41" s="81" t="s">
        <v>303</v>
      </c>
      <c r="U41" s="81">
        <v>7201000</v>
      </c>
      <c r="V41" s="81">
        <v>6316000</v>
      </c>
      <c r="W41" s="81">
        <f t="shared" si="5"/>
        <v>885000</v>
      </c>
      <c r="X41" s="81">
        <f t="shared" si="6"/>
        <v>398250</v>
      </c>
      <c r="Y41" s="81">
        <f t="shared" si="7"/>
        <v>6714250</v>
      </c>
      <c r="Z41" s="81">
        <f t="shared" si="8"/>
        <v>6715000</v>
      </c>
      <c r="AA41" s="81">
        <v>804</v>
      </c>
      <c r="AB41" s="66"/>
      <c r="AC41" s="66"/>
      <c r="AD41" s="81">
        <f t="shared" si="9"/>
        <v>804</v>
      </c>
      <c r="AE41" s="132">
        <v>0.25</v>
      </c>
      <c r="AF41" s="26">
        <f t="shared" si="10"/>
        <v>201</v>
      </c>
      <c r="AG41" s="26"/>
      <c r="AH41" s="26"/>
      <c r="AI41" s="26">
        <f t="shared" si="11"/>
        <v>1005</v>
      </c>
      <c r="AJ41" s="26"/>
      <c r="AK41" s="26"/>
    </row>
    <row r="42" spans="1:37" ht="12.75">
      <c r="A42" s="26">
        <v>80</v>
      </c>
      <c r="B42" s="138" t="s">
        <v>346</v>
      </c>
      <c r="C42" s="66" t="s">
        <v>345</v>
      </c>
      <c r="D42" s="66" t="s">
        <v>340</v>
      </c>
      <c r="E42" s="66">
        <v>1</v>
      </c>
      <c r="F42" s="66"/>
      <c r="G42" s="26" t="s">
        <v>126</v>
      </c>
      <c r="H42" s="26">
        <v>2624000</v>
      </c>
      <c r="I42" s="66">
        <f t="shared" si="2"/>
        <v>2841529.6</v>
      </c>
      <c r="J42" s="66">
        <f t="shared" si="3"/>
        <v>2927000</v>
      </c>
      <c r="K42" s="81">
        <v>3257000</v>
      </c>
      <c r="L42" s="81"/>
      <c r="M42" s="66">
        <f>CEILING(K42*1.12,1000)</f>
        <v>3648000</v>
      </c>
      <c r="N42" s="66"/>
      <c r="O42" s="66"/>
      <c r="P42" s="66"/>
      <c r="Q42" s="81">
        <v>4532000</v>
      </c>
      <c r="R42" s="81">
        <f t="shared" si="4"/>
        <v>4804000</v>
      </c>
      <c r="S42" s="81" t="s">
        <v>255</v>
      </c>
      <c r="T42" s="81" t="s">
        <v>299</v>
      </c>
      <c r="U42" s="81">
        <v>7201000</v>
      </c>
      <c r="V42" s="81">
        <v>6316000</v>
      </c>
      <c r="W42" s="81">
        <f t="shared" si="5"/>
        <v>885000</v>
      </c>
      <c r="X42" s="81">
        <f t="shared" si="6"/>
        <v>398250</v>
      </c>
      <c r="Y42" s="81">
        <f t="shared" si="7"/>
        <v>6714250</v>
      </c>
      <c r="Z42" s="81">
        <f t="shared" si="8"/>
        <v>6715000</v>
      </c>
      <c r="AA42" s="81">
        <v>804</v>
      </c>
      <c r="AB42" s="26"/>
      <c r="AC42" s="26"/>
      <c r="AD42" s="81">
        <f t="shared" si="9"/>
        <v>804</v>
      </c>
      <c r="AE42" s="132">
        <v>0.25</v>
      </c>
      <c r="AF42" s="26">
        <f t="shared" si="10"/>
        <v>201</v>
      </c>
      <c r="AG42" s="26"/>
      <c r="AH42" s="26"/>
      <c r="AI42" s="26">
        <f t="shared" si="11"/>
        <v>1005</v>
      </c>
      <c r="AJ42" s="26"/>
      <c r="AK42" s="26"/>
    </row>
    <row r="43" ht="12.75">
      <c r="AA43" s="81"/>
    </row>
    <row r="44" spans="2:27" ht="12.75">
      <c r="B44" s="63" t="s">
        <v>371</v>
      </c>
      <c r="W44" s="81">
        <f>U44-V44</f>
        <v>0</v>
      </c>
      <c r="X44" s="81">
        <f>W44*45%</f>
        <v>0</v>
      </c>
      <c r="Y44" s="81"/>
      <c r="Z44" s="81"/>
      <c r="AA44" s="81"/>
    </row>
    <row r="45" spans="1:37" ht="12.75">
      <c r="A45" s="26">
        <v>81</v>
      </c>
      <c r="B45" s="138" t="s">
        <v>419</v>
      </c>
      <c r="C45" s="66" t="s">
        <v>339</v>
      </c>
      <c r="D45" s="66" t="s">
        <v>340</v>
      </c>
      <c r="E45" s="66">
        <v>1</v>
      </c>
      <c r="F45" s="66"/>
      <c r="G45" s="26" t="s">
        <v>158</v>
      </c>
      <c r="H45" s="81">
        <v>4023000</v>
      </c>
      <c r="I45" s="66">
        <f>H45*1.0829</f>
        <v>4356506.7</v>
      </c>
      <c r="J45" s="66">
        <f>CEILING(I45*1.03,1000)</f>
        <v>4488000</v>
      </c>
      <c r="K45" s="66">
        <v>4993000</v>
      </c>
      <c r="L45" s="66">
        <v>8200000</v>
      </c>
      <c r="M45" s="81">
        <f>CEILING(K45*1.12,1000)</f>
        <v>5593000</v>
      </c>
      <c r="N45" s="81">
        <f>L45-M45</f>
        <v>2607000</v>
      </c>
      <c r="O45" s="26">
        <f>N45*0.38</f>
        <v>990660</v>
      </c>
      <c r="P45" s="26">
        <f>M45+O45</f>
        <v>6583660</v>
      </c>
      <c r="Q45" s="26">
        <v>8200000</v>
      </c>
      <c r="R45" s="81">
        <f>CEILING(Q45*1.06,1000)</f>
        <v>8692000</v>
      </c>
      <c r="S45" s="81" t="s">
        <v>267</v>
      </c>
      <c r="T45" s="81" t="s">
        <v>297</v>
      </c>
      <c r="U45" s="81">
        <v>13158000</v>
      </c>
      <c r="V45" s="81">
        <v>11057000</v>
      </c>
      <c r="W45" s="81">
        <f>U45-V45</f>
        <v>2101000</v>
      </c>
      <c r="X45" s="81">
        <f>W45*45%</f>
        <v>945450</v>
      </c>
      <c r="Y45" s="81">
        <f>SUM(V45,X45)</f>
        <v>12002450</v>
      </c>
      <c r="Z45" s="81">
        <f>ROUNDUP(Y45,-3)</f>
        <v>12003000</v>
      </c>
      <c r="AA45" s="81">
        <v>1465</v>
      </c>
      <c r="AB45" s="81"/>
      <c r="AC45" s="81">
        <f>(AA45+AB45)*15%</f>
        <v>219.75</v>
      </c>
      <c r="AD45" s="81">
        <f>SUM(AA45:AC45)</f>
        <v>1684.75</v>
      </c>
      <c r="AE45" s="132">
        <v>0.25</v>
      </c>
      <c r="AF45" s="26">
        <f>AD45*AE45</f>
        <v>421.1875</v>
      </c>
      <c r="AG45" s="26"/>
      <c r="AH45" s="26"/>
      <c r="AI45" s="26">
        <f>SUM(AD45,AF45,AH45)</f>
        <v>2105.9375</v>
      </c>
      <c r="AJ45" s="26"/>
      <c r="AK45" s="26"/>
    </row>
    <row r="46" spans="1:37" ht="12.75">
      <c r="A46" s="26">
        <v>82</v>
      </c>
      <c r="B46" s="138" t="s">
        <v>338</v>
      </c>
      <c r="C46" s="66" t="s">
        <v>339</v>
      </c>
      <c r="D46" s="66" t="s">
        <v>340</v>
      </c>
      <c r="E46" s="66">
        <v>1</v>
      </c>
      <c r="F46" s="66"/>
      <c r="G46" s="26" t="s">
        <v>82</v>
      </c>
      <c r="H46" s="81">
        <v>4023000</v>
      </c>
      <c r="I46" s="66">
        <f>H46*1.0829</f>
        <v>4356506.7</v>
      </c>
      <c r="J46" s="66">
        <f>CEILING(I46*1.03,1000)</f>
        <v>4488000</v>
      </c>
      <c r="K46" s="66">
        <v>4993000</v>
      </c>
      <c r="L46" s="66">
        <v>8200000</v>
      </c>
      <c r="M46" s="81">
        <f>CEILING(K46*1.12,1000)</f>
        <v>5593000</v>
      </c>
      <c r="N46" s="81">
        <f>L46-M46</f>
        <v>2607000</v>
      </c>
      <c r="O46" s="26">
        <f>N46*0.38</f>
        <v>990660</v>
      </c>
      <c r="P46" s="26">
        <f>M46+O46</f>
        <v>6583660</v>
      </c>
      <c r="Q46" s="26">
        <v>8200000</v>
      </c>
      <c r="R46" s="81">
        <f>CEILING(Q46*1.06,1000)</f>
        <v>8692000</v>
      </c>
      <c r="S46" s="81" t="s">
        <v>267</v>
      </c>
      <c r="T46" s="81" t="s">
        <v>297</v>
      </c>
      <c r="U46" s="81">
        <v>13158000</v>
      </c>
      <c r="V46" s="81">
        <v>11057000</v>
      </c>
      <c r="W46" s="81">
        <f>U46-V46</f>
        <v>2101000</v>
      </c>
      <c r="X46" s="81">
        <f>W46*45%</f>
        <v>945450</v>
      </c>
      <c r="Y46" s="81">
        <f>SUM(V46,X46)</f>
        <v>12002450</v>
      </c>
      <c r="Z46" s="81">
        <f>ROUNDUP(Y46,-3)</f>
        <v>12003000</v>
      </c>
      <c r="AA46" s="81">
        <v>1465</v>
      </c>
      <c r="AB46" s="66"/>
      <c r="AC46" s="66"/>
      <c r="AD46" s="81">
        <f>SUM(AA46:AC46)</f>
        <v>1465</v>
      </c>
      <c r="AE46" s="132">
        <v>0.25</v>
      </c>
      <c r="AF46" s="26">
        <f>AD46*AE46</f>
        <v>366.25</v>
      </c>
      <c r="AG46" s="26"/>
      <c r="AH46" s="26"/>
      <c r="AI46" s="26">
        <f>SUM(AD46,AF46,AH46)</f>
        <v>1831.25</v>
      </c>
      <c r="AJ46" s="26"/>
      <c r="AK46" s="26"/>
    </row>
    <row r="47" spans="1:37" ht="12.75">
      <c r="A47" s="26">
        <v>83</v>
      </c>
      <c r="B47" s="138" t="s">
        <v>338</v>
      </c>
      <c r="C47" s="66" t="s">
        <v>339</v>
      </c>
      <c r="D47" s="66" t="s">
        <v>343</v>
      </c>
      <c r="E47" s="66">
        <v>3</v>
      </c>
      <c r="F47" s="66"/>
      <c r="G47" s="26" t="s">
        <v>447</v>
      </c>
      <c r="H47" s="81">
        <v>4023000</v>
      </c>
      <c r="I47" s="66">
        <f>H47*1.0829</f>
        <v>4356506.7</v>
      </c>
      <c r="J47" s="66">
        <f>CEILING(I47*1.03,1000)</f>
        <v>4488000</v>
      </c>
      <c r="K47" s="66">
        <v>4993000</v>
      </c>
      <c r="L47" s="66">
        <v>8200000</v>
      </c>
      <c r="M47" s="81">
        <f>CEILING(K47*1.12,1000)</f>
        <v>5593000</v>
      </c>
      <c r="N47" s="81">
        <f>L47-M47</f>
        <v>2607000</v>
      </c>
      <c r="O47" s="26">
        <f>N47*0.38</f>
        <v>990660</v>
      </c>
      <c r="P47" s="26">
        <f>M47+O47</f>
        <v>6583660</v>
      </c>
      <c r="Q47" s="26">
        <v>8200000</v>
      </c>
      <c r="R47" s="81">
        <f>CEILING(Q47*1.06,1000)</f>
        <v>8692000</v>
      </c>
      <c r="S47" s="81" t="s">
        <v>267</v>
      </c>
      <c r="T47" s="81" t="s">
        <v>297</v>
      </c>
      <c r="U47" s="81">
        <v>13158000</v>
      </c>
      <c r="V47" s="81">
        <v>11057000</v>
      </c>
      <c r="W47" s="81">
        <f>U47-V47</f>
        <v>2101000</v>
      </c>
      <c r="X47" s="81">
        <f>W47*45%</f>
        <v>945450</v>
      </c>
      <c r="Y47" s="81">
        <f>SUM(V47,X47)</f>
        <v>12002450</v>
      </c>
      <c r="Z47" s="81">
        <f>ROUNDUP(Y47,-3)</f>
        <v>12003000</v>
      </c>
      <c r="AA47" s="81">
        <v>887</v>
      </c>
      <c r="AB47" s="66"/>
      <c r="AC47" s="66"/>
      <c r="AD47" s="81">
        <f>SUM(AA47:AC47)</f>
        <v>887</v>
      </c>
      <c r="AE47" s="132">
        <v>0.1</v>
      </c>
      <c r="AF47" s="26">
        <f>AD47*AE47</f>
        <v>88.7</v>
      </c>
      <c r="AG47" s="26"/>
      <c r="AH47" s="26"/>
      <c r="AI47" s="26">
        <f>SUM(AD47,AF47,AH47)</f>
        <v>975.7</v>
      </c>
      <c r="AJ47" s="26"/>
      <c r="AK47" s="26"/>
    </row>
    <row r="48" spans="1:37" ht="12.75">
      <c r="A48" s="26">
        <v>84</v>
      </c>
      <c r="B48" s="138" t="s">
        <v>354</v>
      </c>
      <c r="C48" s="66" t="s">
        <v>353</v>
      </c>
      <c r="D48" s="66" t="s">
        <v>340</v>
      </c>
      <c r="E48" s="66">
        <v>1</v>
      </c>
      <c r="F48" s="66"/>
      <c r="G48" s="26" t="s">
        <v>75</v>
      </c>
      <c r="H48" s="81">
        <v>2857000</v>
      </c>
      <c r="I48" s="66">
        <f>H48*1.0829</f>
        <v>3093845.3</v>
      </c>
      <c r="J48" s="66">
        <f>CEILING(I48*1.03,1000)</f>
        <v>3187000</v>
      </c>
      <c r="K48" s="66">
        <v>3546000</v>
      </c>
      <c r="L48" s="66">
        <v>7405000</v>
      </c>
      <c r="M48" s="81">
        <f>CEILING(K48*1.12,1000)</f>
        <v>3972000</v>
      </c>
      <c r="N48" s="81">
        <f>L48-M48</f>
        <v>3433000</v>
      </c>
      <c r="O48" s="26">
        <f>N48*0.38</f>
        <v>1304540</v>
      </c>
      <c r="P48" s="26">
        <f>M48+O48</f>
        <v>5276540</v>
      </c>
      <c r="Q48" s="26">
        <v>7405000</v>
      </c>
      <c r="R48" s="81">
        <f>CEILING(Q48*1.06,1000)</f>
        <v>7850000</v>
      </c>
      <c r="S48" s="81" t="s">
        <v>253</v>
      </c>
      <c r="T48" s="81" t="s">
        <v>292</v>
      </c>
      <c r="U48" s="81">
        <v>11289000</v>
      </c>
      <c r="V48" s="81">
        <v>9902000</v>
      </c>
      <c r="W48" s="81">
        <f>U48-V48</f>
        <v>1387000</v>
      </c>
      <c r="X48" s="81">
        <f>W48*45%</f>
        <v>624150</v>
      </c>
      <c r="Y48" s="81">
        <f>SUM(V48,X48)</f>
        <v>10526150</v>
      </c>
      <c r="Z48" s="81">
        <f>ROUNDUP(Y48,-3)</f>
        <v>10527000</v>
      </c>
      <c r="AA48" s="81">
        <v>1258</v>
      </c>
      <c r="AB48" s="66"/>
      <c r="AC48" s="66"/>
      <c r="AD48" s="81">
        <f>SUM(AA48:AC48)</f>
        <v>1258</v>
      </c>
      <c r="AE48" s="132">
        <v>0.25</v>
      </c>
      <c r="AF48" s="26">
        <f>AD48*AE48</f>
        <v>314.5</v>
      </c>
      <c r="AG48" s="26"/>
      <c r="AH48" s="26"/>
      <c r="AI48" s="26">
        <f>SUM(AD48,AF48,AH48)</f>
        <v>1572.5</v>
      </c>
      <c r="AJ48" s="26"/>
      <c r="AK48" s="26"/>
    </row>
    <row r="49" spans="1:37" ht="12.75">
      <c r="A49" s="26">
        <v>85</v>
      </c>
      <c r="B49" s="138" t="s">
        <v>338</v>
      </c>
      <c r="C49" s="66" t="s">
        <v>339</v>
      </c>
      <c r="D49" s="66" t="s">
        <v>355</v>
      </c>
      <c r="E49" s="66"/>
      <c r="F49" s="66"/>
      <c r="G49" s="26" t="s">
        <v>217</v>
      </c>
      <c r="H49" s="81"/>
      <c r="I49" s="66"/>
      <c r="J49" s="66"/>
      <c r="K49" s="66"/>
      <c r="L49" s="66"/>
      <c r="M49" s="81"/>
      <c r="N49" s="81"/>
      <c r="O49" s="26"/>
      <c r="P49" s="26"/>
      <c r="Q49" s="26"/>
      <c r="R49" s="81"/>
      <c r="S49" s="81"/>
      <c r="T49" s="81"/>
      <c r="U49" s="81"/>
      <c r="V49" s="81"/>
      <c r="W49" s="81"/>
      <c r="X49" s="81"/>
      <c r="Y49" s="81"/>
      <c r="Z49" s="81">
        <v>4375000</v>
      </c>
      <c r="AA49" s="81">
        <v>533</v>
      </c>
      <c r="AB49" s="66"/>
      <c r="AC49" s="66"/>
      <c r="AD49" s="81">
        <f>SUM(AA49:AC49)</f>
        <v>533</v>
      </c>
      <c r="AE49" s="132"/>
      <c r="AF49" s="256"/>
      <c r="AG49" s="26"/>
      <c r="AH49" s="26"/>
      <c r="AI49" s="26">
        <f>SUM(AD49,AF49,AH49)</f>
        <v>533</v>
      </c>
      <c r="AJ49" s="26"/>
      <c r="AK49" s="26"/>
    </row>
    <row r="50" spans="1:37" ht="12.75">
      <c r="A50" s="26"/>
      <c r="B50" s="138"/>
      <c r="C50" s="66"/>
      <c r="D50" s="66"/>
      <c r="E50" s="66"/>
      <c r="F50" s="66"/>
      <c r="G50" s="26"/>
      <c r="H50" s="81"/>
      <c r="I50" s="66"/>
      <c r="J50" s="66"/>
      <c r="K50" s="66"/>
      <c r="L50" s="66"/>
      <c r="M50" s="81"/>
      <c r="N50" s="81"/>
      <c r="O50" s="26"/>
      <c r="P50" s="26"/>
      <c r="Q50" s="26"/>
      <c r="R50" s="81"/>
      <c r="S50" s="81"/>
      <c r="T50" s="81"/>
      <c r="U50" s="81"/>
      <c r="V50" s="81"/>
      <c r="W50" s="81"/>
      <c r="X50" s="81"/>
      <c r="Y50" s="81"/>
      <c r="Z50" s="81"/>
      <c r="AA50" s="81"/>
      <c r="AB50" s="66"/>
      <c r="AC50" s="66"/>
      <c r="AD50" s="26"/>
      <c r="AE50" s="132"/>
      <c r="AF50" s="26"/>
      <c r="AG50" s="26"/>
      <c r="AH50" s="26"/>
      <c r="AI50" s="26"/>
      <c r="AJ50" s="26"/>
      <c r="AK50" s="26"/>
    </row>
    <row r="51" spans="1:37" ht="12.75">
      <c r="A51" s="26"/>
      <c r="B51" s="296" t="s">
        <v>504</v>
      </c>
      <c r="C51" s="297"/>
      <c r="D51" s="297"/>
      <c r="E51" s="297"/>
      <c r="F51" s="297"/>
      <c r="G51" s="295"/>
      <c r="H51" s="294"/>
      <c r="I51" s="297"/>
      <c r="J51" s="297"/>
      <c r="K51" s="297"/>
      <c r="L51" s="297"/>
      <c r="M51" s="294"/>
      <c r="N51" s="294"/>
      <c r="O51" s="295"/>
      <c r="P51" s="295"/>
      <c r="Q51" s="295"/>
      <c r="R51" s="294"/>
      <c r="S51" s="294"/>
      <c r="T51" s="294"/>
      <c r="U51" s="294"/>
      <c r="V51" s="294"/>
      <c r="W51" s="294"/>
      <c r="X51" s="294"/>
      <c r="Y51" s="294"/>
      <c r="Z51" s="294"/>
      <c r="AA51" s="294">
        <f>SUM(AA13:AA50)</f>
        <v>29982</v>
      </c>
      <c r="AB51" s="294">
        <f aca="true" t="shared" si="12" ref="AB51:AI51">SUM(AB15:AB50)</f>
        <v>805.75</v>
      </c>
      <c r="AC51" s="294">
        <f t="shared" si="12"/>
        <v>651.15</v>
      </c>
      <c r="AD51" s="294">
        <f t="shared" si="12"/>
        <v>29973.899999999998</v>
      </c>
      <c r="AE51" s="294">
        <f t="shared" si="12"/>
        <v>3.75</v>
      </c>
      <c r="AF51" s="294">
        <f t="shared" si="12"/>
        <v>4947.3475</v>
      </c>
      <c r="AG51" s="294">
        <f t="shared" si="12"/>
        <v>0.4</v>
      </c>
      <c r="AH51" s="294">
        <f t="shared" si="12"/>
        <v>531.385</v>
      </c>
      <c r="AI51" s="294">
        <f t="shared" si="12"/>
        <v>35452.6325</v>
      </c>
      <c r="AJ51" s="26"/>
      <c r="AK51" s="26"/>
    </row>
    <row r="52" spans="1:37" ht="12.75">
      <c r="A52" s="26"/>
      <c r="B52" s="138"/>
      <c r="C52" s="66"/>
      <c r="D52" s="66"/>
      <c r="E52" s="66"/>
      <c r="F52" s="66"/>
      <c r="G52" s="26"/>
      <c r="H52" s="81"/>
      <c r="I52" s="66"/>
      <c r="J52" s="66"/>
      <c r="K52" s="66"/>
      <c r="L52" s="66"/>
      <c r="M52" s="81"/>
      <c r="N52" s="81"/>
      <c r="O52" s="26"/>
      <c r="P52" s="26"/>
      <c r="Q52" s="26"/>
      <c r="R52" s="81"/>
      <c r="S52" s="81"/>
      <c r="T52" s="81"/>
      <c r="U52" s="81"/>
      <c r="V52" s="81"/>
      <c r="W52" s="81"/>
      <c r="X52" s="81"/>
      <c r="Y52" s="81"/>
      <c r="Z52" s="81"/>
      <c r="AA52" s="81"/>
      <c r="AB52" s="66"/>
      <c r="AC52" s="66"/>
      <c r="AD52" s="26"/>
      <c r="AE52" s="132"/>
      <c r="AF52" s="26"/>
      <c r="AG52" s="26"/>
      <c r="AH52" s="26"/>
      <c r="AI52" s="26"/>
      <c r="AJ52" s="26"/>
      <c r="AK52" s="26"/>
    </row>
    <row r="53" spans="1:37" ht="12.75">
      <c r="A53" s="26"/>
      <c r="B53" s="138"/>
      <c r="C53" s="66"/>
      <c r="D53" s="66"/>
      <c r="E53" s="66"/>
      <c r="F53" s="66"/>
      <c r="G53" s="26"/>
      <c r="H53" s="81"/>
      <c r="I53" s="66"/>
      <c r="J53" s="66"/>
      <c r="K53" s="66"/>
      <c r="L53" s="66"/>
      <c r="M53" s="81"/>
      <c r="N53" s="81"/>
      <c r="O53" s="26"/>
      <c r="P53" s="26"/>
      <c r="Q53" s="26"/>
      <c r="R53" s="81"/>
      <c r="S53" s="81"/>
      <c r="T53" s="81"/>
      <c r="U53" s="81"/>
      <c r="V53" s="81"/>
      <c r="W53" s="81"/>
      <c r="X53" s="81"/>
      <c r="Y53" s="81"/>
      <c r="Z53" s="81"/>
      <c r="AA53" s="81"/>
      <c r="AB53" s="66"/>
      <c r="AC53" s="66"/>
      <c r="AD53" s="26"/>
      <c r="AE53" s="132"/>
      <c r="AF53" s="26"/>
      <c r="AG53" s="26"/>
      <c r="AH53" s="26"/>
      <c r="AI53" s="26"/>
      <c r="AJ53" s="26"/>
      <c r="AK53" s="26"/>
    </row>
    <row r="54" spans="1:37" ht="12.75">
      <c r="A54" s="26"/>
      <c r="B54" s="138"/>
      <c r="C54" s="66"/>
      <c r="D54" s="66"/>
      <c r="E54" s="66"/>
      <c r="F54" s="66"/>
      <c r="G54" s="26"/>
      <c r="H54" s="81"/>
      <c r="I54" s="66"/>
      <c r="J54" s="66"/>
      <c r="K54" s="66"/>
      <c r="L54" s="66"/>
      <c r="M54" s="81"/>
      <c r="N54" s="81"/>
      <c r="O54" s="26"/>
      <c r="P54" s="26"/>
      <c r="Q54" s="26"/>
      <c r="R54" s="81"/>
      <c r="S54" s="81"/>
      <c r="T54" s="81"/>
      <c r="U54" s="81"/>
      <c r="V54" s="81"/>
      <c r="W54" s="81"/>
      <c r="X54" s="81"/>
      <c r="Y54" s="81"/>
      <c r="Z54" s="81"/>
      <c r="AA54" s="81"/>
      <c r="AB54" s="66"/>
      <c r="AC54" s="66"/>
      <c r="AD54" s="26"/>
      <c r="AE54" s="132"/>
      <c r="AF54" s="26"/>
      <c r="AG54" s="26"/>
      <c r="AH54" s="26"/>
      <c r="AI54" s="26"/>
      <c r="AJ54" s="26"/>
      <c r="AK54" s="26"/>
    </row>
    <row r="55" spans="1:37" ht="12.75">
      <c r="A55" s="26"/>
      <c r="B55" s="138"/>
      <c r="C55" s="66"/>
      <c r="D55" s="66"/>
      <c r="E55" s="66"/>
      <c r="F55" s="66"/>
      <c r="G55" s="26"/>
      <c r="H55" s="81"/>
      <c r="I55" s="66"/>
      <c r="J55" s="66"/>
      <c r="K55" s="66"/>
      <c r="L55" s="66"/>
      <c r="M55" s="81"/>
      <c r="N55" s="81"/>
      <c r="O55" s="26"/>
      <c r="P55" s="26"/>
      <c r="Q55" s="26"/>
      <c r="R55" s="81"/>
      <c r="S55" s="81"/>
      <c r="T55" s="81"/>
      <c r="U55" s="81"/>
      <c r="V55" s="81"/>
      <c r="W55" s="81"/>
      <c r="X55" s="81"/>
      <c r="Y55" s="81"/>
      <c r="Z55" s="81"/>
      <c r="AA55" s="81"/>
      <c r="AB55" s="66"/>
      <c r="AC55" s="66"/>
      <c r="AD55" s="26"/>
      <c r="AE55" s="132"/>
      <c r="AF55" s="26"/>
      <c r="AG55" s="26"/>
      <c r="AH55" s="26"/>
      <c r="AI55" s="26"/>
      <c r="AJ55" s="26"/>
      <c r="AK55" s="26"/>
    </row>
    <row r="56" spans="1:37" ht="12.75">
      <c r="A56" s="26"/>
      <c r="B56" s="138"/>
      <c r="C56" s="66"/>
      <c r="D56" s="66"/>
      <c r="E56" s="66"/>
      <c r="F56" s="66"/>
      <c r="G56" s="26"/>
      <c r="H56" s="81"/>
      <c r="I56" s="66"/>
      <c r="J56" s="66"/>
      <c r="K56" s="66"/>
      <c r="L56" s="66"/>
      <c r="M56" s="81"/>
      <c r="N56" s="81"/>
      <c r="O56" s="26"/>
      <c r="P56" s="26"/>
      <c r="Q56" s="26"/>
      <c r="R56" s="81"/>
      <c r="S56" s="81"/>
      <c r="T56" s="81"/>
      <c r="U56" s="81"/>
      <c r="V56" s="81"/>
      <c r="W56" s="81"/>
      <c r="X56" s="81"/>
      <c r="Y56" s="81"/>
      <c r="Z56" s="81"/>
      <c r="AA56" s="81"/>
      <c r="AB56" s="66"/>
      <c r="AC56" s="66"/>
      <c r="AD56" s="26"/>
      <c r="AE56" s="132"/>
      <c r="AF56" s="26"/>
      <c r="AG56" s="26"/>
      <c r="AH56" s="26"/>
      <c r="AI56" s="26"/>
      <c r="AJ56" s="26"/>
      <c r="AK56" s="26"/>
    </row>
    <row r="57" spans="1:37" ht="12.75">
      <c r="A57" s="26"/>
      <c r="B57" s="138"/>
      <c r="C57" s="66"/>
      <c r="D57" s="66"/>
      <c r="E57" s="66"/>
      <c r="F57" s="66"/>
      <c r="G57" s="26"/>
      <c r="H57" s="81"/>
      <c r="I57" s="66"/>
      <c r="J57" s="66"/>
      <c r="K57" s="66"/>
      <c r="L57" s="66"/>
      <c r="M57" s="81"/>
      <c r="N57" s="81"/>
      <c r="O57" s="26"/>
      <c r="P57" s="26"/>
      <c r="Q57" s="26"/>
      <c r="R57" s="81"/>
      <c r="S57" s="81"/>
      <c r="T57" s="81"/>
      <c r="U57" s="81"/>
      <c r="V57" s="81"/>
      <c r="W57" s="81"/>
      <c r="X57" s="81"/>
      <c r="Y57" s="81"/>
      <c r="Z57" s="81"/>
      <c r="AA57" s="81"/>
      <c r="AB57" s="66"/>
      <c r="AC57" s="66"/>
      <c r="AD57" s="26"/>
      <c r="AE57" s="132"/>
      <c r="AF57" s="26"/>
      <c r="AG57" s="26"/>
      <c r="AH57" s="26"/>
      <c r="AI57" s="26"/>
      <c r="AJ57" s="26"/>
      <c r="AK57" s="26"/>
    </row>
    <row r="58" spans="1:37" ht="12.75">
      <c r="A58" s="26"/>
      <c r="B58" s="138"/>
      <c r="C58" s="66"/>
      <c r="D58" s="66"/>
      <c r="E58" s="66"/>
      <c r="F58" s="66"/>
      <c r="G58" s="26"/>
      <c r="H58" s="81"/>
      <c r="I58" s="66"/>
      <c r="J58" s="66"/>
      <c r="K58" s="66"/>
      <c r="L58" s="66"/>
      <c r="M58" s="81"/>
      <c r="N58" s="81"/>
      <c r="O58" s="26"/>
      <c r="P58" s="26"/>
      <c r="Q58" s="26"/>
      <c r="R58" s="81"/>
      <c r="S58" s="81"/>
      <c r="T58" s="81"/>
      <c r="U58" s="81"/>
      <c r="V58" s="81"/>
      <c r="W58" s="81"/>
      <c r="X58" s="81"/>
      <c r="Y58" s="81"/>
      <c r="Z58" s="81"/>
      <c r="AA58" s="81"/>
      <c r="AB58" s="66"/>
      <c r="AC58" s="66"/>
      <c r="AD58" s="26"/>
      <c r="AE58" s="132"/>
      <c r="AF58" s="26"/>
      <c r="AG58" s="26"/>
      <c r="AH58" s="26"/>
      <c r="AI58" s="26"/>
      <c r="AJ58" s="26"/>
      <c r="AK58" s="26"/>
    </row>
    <row r="59" spans="1:37" ht="12.75">
      <c r="A59" s="26"/>
      <c r="B59" s="138"/>
      <c r="C59" s="66"/>
      <c r="D59" s="66"/>
      <c r="E59" s="66"/>
      <c r="F59" s="66"/>
      <c r="G59" s="26"/>
      <c r="H59" s="81"/>
      <c r="I59" s="66"/>
      <c r="J59" s="66"/>
      <c r="K59" s="66"/>
      <c r="L59" s="66"/>
      <c r="M59" s="81"/>
      <c r="N59" s="81"/>
      <c r="O59" s="26"/>
      <c r="P59" s="26"/>
      <c r="Q59" s="26"/>
      <c r="R59" s="81"/>
      <c r="S59" s="81"/>
      <c r="T59" s="81"/>
      <c r="U59" s="81"/>
      <c r="V59" s="81"/>
      <c r="W59" s="81"/>
      <c r="X59" s="81"/>
      <c r="Y59" s="81"/>
      <c r="Z59" s="81"/>
      <c r="AA59" s="81"/>
      <c r="AB59" s="66"/>
      <c r="AC59" s="66"/>
      <c r="AD59" s="26"/>
      <c r="AE59" s="132"/>
      <c r="AF59" s="26"/>
      <c r="AG59" s="26"/>
      <c r="AH59" s="26"/>
      <c r="AI59" s="26"/>
      <c r="AJ59" s="26"/>
      <c r="AK59" s="26"/>
    </row>
    <row r="60" spans="1:37" ht="12.75">
      <c r="A60" s="26"/>
      <c r="B60" s="138"/>
      <c r="C60" s="66"/>
      <c r="D60" s="66"/>
      <c r="E60" s="66"/>
      <c r="F60" s="66"/>
      <c r="G60" s="26"/>
      <c r="H60" s="81"/>
      <c r="I60" s="66"/>
      <c r="J60" s="66"/>
      <c r="K60" s="66"/>
      <c r="L60" s="66"/>
      <c r="M60" s="81"/>
      <c r="N60" s="81"/>
      <c r="O60" s="26"/>
      <c r="P60" s="26"/>
      <c r="Q60" s="26"/>
      <c r="R60" s="81"/>
      <c r="S60" s="81"/>
      <c r="T60" s="81"/>
      <c r="U60" s="81"/>
      <c r="V60" s="81"/>
      <c r="W60" s="81"/>
      <c r="X60" s="81"/>
      <c r="Y60" s="81"/>
      <c r="Z60" s="81"/>
      <c r="AA60" s="81"/>
      <c r="AB60" s="66"/>
      <c r="AC60" s="66"/>
      <c r="AD60" s="26"/>
      <c r="AE60" s="132"/>
      <c r="AF60" s="26"/>
      <c r="AG60" s="26"/>
      <c r="AH60" s="26"/>
      <c r="AI60" s="26"/>
      <c r="AJ60" s="26"/>
      <c r="AK60" s="26"/>
    </row>
    <row r="61" spans="1:37" ht="12.75">
      <c r="A61" s="26"/>
      <c r="B61" s="138"/>
      <c r="C61" s="66"/>
      <c r="D61" s="66"/>
      <c r="E61" s="66"/>
      <c r="F61" s="66"/>
      <c r="G61" s="26"/>
      <c r="H61" s="81"/>
      <c r="I61" s="66"/>
      <c r="J61" s="66"/>
      <c r="K61" s="66"/>
      <c r="L61" s="66"/>
      <c r="M61" s="81"/>
      <c r="N61" s="81"/>
      <c r="O61" s="26"/>
      <c r="P61" s="26"/>
      <c r="Q61" s="26"/>
      <c r="R61" s="81"/>
      <c r="S61" s="81"/>
      <c r="T61" s="81"/>
      <c r="U61" s="81"/>
      <c r="V61" s="81"/>
      <c r="W61" s="81"/>
      <c r="X61" s="81"/>
      <c r="Y61" s="81"/>
      <c r="Z61" s="81"/>
      <c r="AA61" s="81"/>
      <c r="AB61" s="66"/>
      <c r="AC61" s="66"/>
      <c r="AD61" s="26"/>
      <c r="AE61" s="132"/>
      <c r="AF61" s="26"/>
      <c r="AG61" s="26"/>
      <c r="AH61" s="26"/>
      <c r="AI61" s="26"/>
      <c r="AJ61" s="26"/>
      <c r="AK61" s="26"/>
    </row>
    <row r="62" spans="1:37" ht="12.75">
      <c r="A62" s="26"/>
      <c r="B62" s="138"/>
      <c r="C62" s="66"/>
      <c r="D62" s="66"/>
      <c r="E62" s="66"/>
      <c r="F62" s="66"/>
      <c r="G62" s="26"/>
      <c r="H62" s="81"/>
      <c r="I62" s="66"/>
      <c r="J62" s="66"/>
      <c r="K62" s="66"/>
      <c r="L62" s="66"/>
      <c r="M62" s="81"/>
      <c r="N62" s="81"/>
      <c r="O62" s="26"/>
      <c r="P62" s="26"/>
      <c r="Q62" s="26"/>
      <c r="R62" s="81"/>
      <c r="S62" s="81"/>
      <c r="T62" s="81"/>
      <c r="U62" s="81"/>
      <c r="V62" s="81"/>
      <c r="W62" s="81"/>
      <c r="X62" s="81"/>
      <c r="Y62" s="81"/>
      <c r="Z62" s="81"/>
      <c r="AA62" s="81"/>
      <c r="AB62" s="66"/>
      <c r="AC62" s="66"/>
      <c r="AD62" s="26"/>
      <c r="AE62" s="132"/>
      <c r="AF62" s="26"/>
      <c r="AG62" s="26"/>
      <c r="AH62" s="26"/>
      <c r="AI62" s="26"/>
      <c r="AJ62" s="26"/>
      <c r="AK62" s="26"/>
    </row>
    <row r="63" spans="1:37" ht="12.75">
      <c r="A63" s="26"/>
      <c r="B63" s="138"/>
      <c r="C63" s="66"/>
      <c r="D63" s="66"/>
      <c r="E63" s="66"/>
      <c r="F63" s="66"/>
      <c r="G63" s="26"/>
      <c r="H63" s="81"/>
      <c r="I63" s="66"/>
      <c r="J63" s="66"/>
      <c r="K63" s="66"/>
      <c r="L63" s="66"/>
      <c r="M63" s="81"/>
      <c r="N63" s="81"/>
      <c r="O63" s="26"/>
      <c r="P63" s="26"/>
      <c r="Q63" s="26"/>
      <c r="R63" s="81"/>
      <c r="S63" s="81"/>
      <c r="T63" s="81"/>
      <c r="U63" s="81"/>
      <c r="V63" s="81"/>
      <c r="W63" s="81"/>
      <c r="X63" s="81"/>
      <c r="Y63" s="81"/>
      <c r="Z63" s="81"/>
      <c r="AA63" s="81"/>
      <c r="AB63" s="66"/>
      <c r="AC63" s="66"/>
      <c r="AD63" s="26"/>
      <c r="AE63" s="132"/>
      <c r="AF63" s="26"/>
      <c r="AG63" s="26"/>
      <c r="AH63" s="26"/>
      <c r="AI63" s="26"/>
      <c r="AJ63" s="26"/>
      <c r="AK63" s="26"/>
    </row>
    <row r="64" spans="1:37" ht="12.75">
      <c r="A64" s="26"/>
      <c r="B64" s="138"/>
      <c r="C64" s="66"/>
      <c r="D64" s="66"/>
      <c r="E64" s="66"/>
      <c r="F64" s="66"/>
      <c r="G64" s="26"/>
      <c r="H64" s="81"/>
      <c r="I64" s="66"/>
      <c r="J64" s="66"/>
      <c r="K64" s="66"/>
      <c r="L64" s="66"/>
      <c r="M64" s="81"/>
      <c r="N64" s="81"/>
      <c r="O64" s="26"/>
      <c r="P64" s="26"/>
      <c r="Q64" s="26"/>
      <c r="R64" s="81"/>
      <c r="S64" s="81"/>
      <c r="T64" s="81"/>
      <c r="U64" s="81"/>
      <c r="V64" s="81"/>
      <c r="W64" s="81"/>
      <c r="X64" s="81"/>
      <c r="Y64" s="81"/>
      <c r="Z64" s="81"/>
      <c r="AA64" s="81"/>
      <c r="AB64" s="66"/>
      <c r="AC64" s="66"/>
      <c r="AD64" s="26"/>
      <c r="AE64" s="132"/>
      <c r="AF64" s="26"/>
      <c r="AG64" s="26"/>
      <c r="AH64" s="26"/>
      <c r="AI64" s="26"/>
      <c r="AJ64" s="26"/>
      <c r="AK64" s="26"/>
    </row>
    <row r="65" spans="1:37" ht="12.75">
      <c r="A65" s="26"/>
      <c r="B65" s="138"/>
      <c r="C65" s="66"/>
      <c r="D65" s="66"/>
      <c r="E65" s="66"/>
      <c r="F65" s="66"/>
      <c r="G65" s="26"/>
      <c r="H65" s="81"/>
      <c r="I65" s="66"/>
      <c r="J65" s="66"/>
      <c r="K65" s="66"/>
      <c r="L65" s="66"/>
      <c r="M65" s="81"/>
      <c r="N65" s="81"/>
      <c r="O65" s="26"/>
      <c r="P65" s="26"/>
      <c r="Q65" s="26"/>
      <c r="R65" s="81"/>
      <c r="S65" s="81"/>
      <c r="T65" s="81"/>
      <c r="U65" s="81"/>
      <c r="V65" s="81"/>
      <c r="W65" s="81"/>
      <c r="X65" s="81"/>
      <c r="Y65" s="81"/>
      <c r="Z65" s="81"/>
      <c r="AA65" s="81"/>
      <c r="AB65" s="66"/>
      <c r="AC65" s="66"/>
      <c r="AD65" s="26"/>
      <c r="AE65" s="132"/>
      <c r="AF65" s="26"/>
      <c r="AG65" s="26"/>
      <c r="AH65" s="26"/>
      <c r="AI65" s="26"/>
      <c r="AJ65" s="26"/>
      <c r="AK65" s="26"/>
    </row>
    <row r="66" spans="1:37" ht="12.75">
      <c r="A66" s="26"/>
      <c r="B66" s="138"/>
      <c r="C66" s="66"/>
      <c r="D66" s="66"/>
      <c r="E66" s="66"/>
      <c r="F66" s="66"/>
      <c r="G66" s="26"/>
      <c r="H66" s="81"/>
      <c r="I66" s="66"/>
      <c r="J66" s="66"/>
      <c r="K66" s="66"/>
      <c r="L66" s="66"/>
      <c r="M66" s="81"/>
      <c r="N66" s="81"/>
      <c r="O66" s="26"/>
      <c r="P66" s="26"/>
      <c r="Q66" s="26"/>
      <c r="R66" s="81"/>
      <c r="S66" s="81"/>
      <c r="T66" s="81"/>
      <c r="U66" s="81"/>
      <c r="V66" s="81"/>
      <c r="W66" s="81"/>
      <c r="X66" s="81"/>
      <c r="Y66" s="81"/>
      <c r="Z66" s="81"/>
      <c r="AA66" s="81"/>
      <c r="AB66" s="66"/>
      <c r="AC66" s="66"/>
      <c r="AD66" s="26"/>
      <c r="AE66" s="132"/>
      <c r="AF66" s="26"/>
      <c r="AG66" s="26"/>
      <c r="AH66" s="26"/>
      <c r="AI66" s="26"/>
      <c r="AJ66" s="26"/>
      <c r="AK66" s="26"/>
    </row>
    <row r="67" spans="1:37" ht="12.75">
      <c r="A67" s="26"/>
      <c r="B67" s="138"/>
      <c r="C67" s="66"/>
      <c r="D67" s="66"/>
      <c r="E67" s="66"/>
      <c r="F67" s="66"/>
      <c r="G67" s="26"/>
      <c r="H67" s="81"/>
      <c r="I67" s="66"/>
      <c r="J67" s="66"/>
      <c r="K67" s="66"/>
      <c r="L67" s="66"/>
      <c r="M67" s="81"/>
      <c r="N67" s="81"/>
      <c r="O67" s="26"/>
      <c r="P67" s="26"/>
      <c r="Q67" s="26"/>
      <c r="R67" s="81"/>
      <c r="S67" s="81"/>
      <c r="T67" s="81"/>
      <c r="U67" s="81"/>
      <c r="V67" s="81"/>
      <c r="W67" s="81"/>
      <c r="X67" s="81"/>
      <c r="Y67" s="81"/>
      <c r="Z67" s="81"/>
      <c r="AA67" s="81"/>
      <c r="AB67" s="66"/>
      <c r="AC67" s="66"/>
      <c r="AD67" s="26"/>
      <c r="AE67" s="132"/>
      <c r="AF67" s="26"/>
      <c r="AG67" s="26"/>
      <c r="AH67" s="26"/>
      <c r="AI67" s="26"/>
      <c r="AJ67" s="26"/>
      <c r="AK67" s="26"/>
    </row>
    <row r="68" spans="1:37" ht="12.75">
      <c r="A68" s="26"/>
      <c r="B68" s="138"/>
      <c r="C68" s="66"/>
      <c r="D68" s="66"/>
      <c r="E68" s="66"/>
      <c r="F68" s="66"/>
      <c r="G68" s="26"/>
      <c r="H68" s="81"/>
      <c r="I68" s="66"/>
      <c r="J68" s="66"/>
      <c r="K68" s="66"/>
      <c r="L68" s="66"/>
      <c r="M68" s="81"/>
      <c r="N68" s="81"/>
      <c r="O68" s="26"/>
      <c r="P68" s="26"/>
      <c r="Q68" s="26"/>
      <c r="R68" s="81"/>
      <c r="S68" s="81"/>
      <c r="T68" s="81"/>
      <c r="U68" s="81"/>
      <c r="V68" s="81"/>
      <c r="W68" s="81"/>
      <c r="X68" s="81"/>
      <c r="Y68" s="81"/>
      <c r="Z68" s="81"/>
      <c r="AA68" s="81"/>
      <c r="AB68" s="66"/>
      <c r="AC68" s="66"/>
      <c r="AD68" s="26"/>
      <c r="AE68" s="132"/>
      <c r="AF68" s="26"/>
      <c r="AG68" s="26"/>
      <c r="AH68" s="26"/>
      <c r="AI68" s="26"/>
      <c r="AJ68" s="26"/>
      <c r="AK68" s="26"/>
    </row>
    <row r="69" spans="1:37" ht="12.75">
      <c r="A69" s="26"/>
      <c r="B69" s="26"/>
      <c r="C69" s="66"/>
      <c r="D69" s="66"/>
      <c r="E69" s="66"/>
      <c r="F69" s="66"/>
      <c r="G69" s="26"/>
      <c r="H69" s="81"/>
      <c r="I69" s="66"/>
      <c r="J69" s="66"/>
      <c r="K69" s="66"/>
      <c r="L69" s="66"/>
      <c r="M69" s="81"/>
      <c r="N69" s="81"/>
      <c r="O69" s="26"/>
      <c r="P69" s="26"/>
      <c r="Q69" s="26"/>
      <c r="R69" s="26"/>
      <c r="S69" s="26"/>
      <c r="T69" s="26"/>
      <c r="U69" s="26"/>
      <c r="V69" s="26"/>
      <c r="W69" s="81">
        <f>U69-V69</f>
        <v>0</v>
      </c>
      <c r="X69" s="81">
        <f>W69*45%</f>
        <v>0</v>
      </c>
      <c r="Y69" s="81"/>
      <c r="Z69" s="81"/>
      <c r="AA69" s="81"/>
      <c r="AB69" s="66"/>
      <c r="AC69" s="66"/>
      <c r="AD69" s="26"/>
      <c r="AE69" s="132"/>
      <c r="AF69" s="26"/>
      <c r="AG69" s="26"/>
      <c r="AH69" s="26"/>
      <c r="AI69" s="26"/>
      <c r="AJ69" s="26"/>
      <c r="AK69" s="26"/>
    </row>
    <row r="70" spans="1:37" ht="12.75">
      <c r="A70" s="26"/>
      <c r="B70" s="26" t="s">
        <v>372</v>
      </c>
      <c r="C70" s="66"/>
      <c r="D70" s="66"/>
      <c r="E70" s="66"/>
      <c r="F70" s="66"/>
      <c r="G70" s="26"/>
      <c r="H70" s="81"/>
      <c r="I70" s="66"/>
      <c r="J70" s="66"/>
      <c r="K70" s="66"/>
      <c r="L70" s="66"/>
      <c r="M70" s="81"/>
      <c r="N70" s="81"/>
      <c r="O70" s="26"/>
      <c r="P70" s="26"/>
      <c r="Q70" s="26"/>
      <c r="R70" s="26"/>
      <c r="S70" s="26"/>
      <c r="T70" s="26"/>
      <c r="U70" s="26"/>
      <c r="V70" s="26"/>
      <c r="W70" s="81"/>
      <c r="X70" s="81"/>
      <c r="Y70" s="81"/>
      <c r="Z70" s="81"/>
      <c r="AA70" s="81"/>
      <c r="AB70" s="66"/>
      <c r="AC70" s="66"/>
      <c r="AD70" s="26"/>
      <c r="AE70" s="26"/>
      <c r="AF70" s="26"/>
      <c r="AG70" s="26"/>
      <c r="AH70" s="26"/>
      <c r="AI70" s="26"/>
      <c r="AJ70" s="26"/>
      <c r="AK70" s="26"/>
    </row>
    <row r="71" spans="1:35" ht="12.75">
      <c r="A71" s="26">
        <v>86</v>
      </c>
      <c r="B71" s="26" t="s">
        <v>494</v>
      </c>
      <c r="F71" s="26" t="s">
        <v>33</v>
      </c>
      <c r="G71" s="26" t="s">
        <v>48</v>
      </c>
      <c r="H71" s="26">
        <v>4569000</v>
      </c>
      <c r="I71" s="81">
        <f>CEILING(H71*1.06,1000)</f>
        <v>4844000</v>
      </c>
      <c r="J71" s="81">
        <v>5713000</v>
      </c>
      <c r="K71" s="132">
        <v>0.25</v>
      </c>
      <c r="L71" s="26" t="e">
        <f>#REF!*K71</f>
        <v>#REF!</v>
      </c>
      <c r="M71" s="81"/>
      <c r="N71" s="26"/>
      <c r="O71" s="26" t="e">
        <f>SUM(#REF!,L71)</f>
        <v>#REF!</v>
      </c>
      <c r="P71" s="63"/>
      <c r="Q71" s="63"/>
      <c r="R71" s="63"/>
      <c r="S71" s="63"/>
      <c r="T71" s="63"/>
      <c r="U71" s="63"/>
      <c r="V71" s="63"/>
      <c r="W71" s="63"/>
      <c r="X71" s="63"/>
      <c r="Y71" s="63"/>
      <c r="Z71" s="81">
        <v>5713000</v>
      </c>
      <c r="AA71" s="81">
        <v>1160</v>
      </c>
      <c r="AB71" s="26">
        <f>AA71*30%</f>
        <v>348</v>
      </c>
      <c r="AC71" s="26">
        <f>AA71*15%</f>
        <v>174</v>
      </c>
      <c r="AD71" s="26">
        <f>SUM(AA71:AC71)</f>
        <v>1682</v>
      </c>
      <c r="AE71" s="132">
        <v>0.25</v>
      </c>
      <c r="AF71" s="26">
        <f>AD71*AE71</f>
        <v>420.5</v>
      </c>
      <c r="AG71" s="81"/>
      <c r="AH71" s="26"/>
      <c r="AI71" s="26">
        <f>SUM(AD71,AF71,AH71)</f>
        <v>2102.5</v>
      </c>
    </row>
    <row r="72" spans="1:35" ht="12.75">
      <c r="A72" s="26">
        <v>87</v>
      </c>
      <c r="B72" s="26" t="s">
        <v>221</v>
      </c>
      <c r="F72" s="26"/>
      <c r="G72" s="26" t="s">
        <v>49</v>
      </c>
      <c r="H72" s="26">
        <v>4197000</v>
      </c>
      <c r="I72" s="81">
        <f aca="true" t="shared" si="13" ref="I72:I85">CEILING(H72*1.06,1000)</f>
        <v>4449000</v>
      </c>
      <c r="J72" s="81">
        <v>5247000</v>
      </c>
      <c r="K72" s="132">
        <v>0.25</v>
      </c>
      <c r="L72" s="26" t="e">
        <f>#REF!*K72</f>
        <v>#REF!</v>
      </c>
      <c r="M72" s="26"/>
      <c r="N72" s="26"/>
      <c r="O72" s="26" t="e">
        <f>SUM(#REF!,L72)</f>
        <v>#REF!</v>
      </c>
      <c r="P72" s="63"/>
      <c r="Q72" s="63"/>
      <c r="R72" s="63"/>
      <c r="S72" s="63"/>
      <c r="T72" s="63"/>
      <c r="U72" s="63"/>
      <c r="V72" s="63"/>
      <c r="W72" s="63"/>
      <c r="X72" s="63"/>
      <c r="Y72" s="63"/>
      <c r="Z72" s="81">
        <v>5247000</v>
      </c>
      <c r="AA72" s="81">
        <v>676</v>
      </c>
      <c r="AB72" s="63"/>
      <c r="AC72" s="63"/>
      <c r="AD72" s="26">
        <f aca="true" t="shared" si="14" ref="AD72:AD97">SUM(AA72:AC72)</f>
        <v>676</v>
      </c>
      <c r="AE72" s="132">
        <v>0.25</v>
      </c>
      <c r="AF72" s="26">
        <f aca="true" t="shared" si="15" ref="AF72:AF97">AD72*AE72</f>
        <v>169</v>
      </c>
      <c r="AG72" s="26"/>
      <c r="AH72" s="26"/>
      <c r="AI72" s="26">
        <f aca="true" t="shared" si="16" ref="AI72:AI97">SUM(AD72,AF72,AH72)</f>
        <v>845</v>
      </c>
    </row>
    <row r="73" spans="1:35" ht="12.75">
      <c r="A73" s="26">
        <v>88</v>
      </c>
      <c r="B73" s="26" t="s">
        <v>523</v>
      </c>
      <c r="F73" s="26"/>
      <c r="G73" s="26" t="s">
        <v>50</v>
      </c>
      <c r="H73" s="26">
        <v>3569000</v>
      </c>
      <c r="I73" s="81">
        <f t="shared" si="13"/>
        <v>3784000</v>
      </c>
      <c r="J73" s="81">
        <v>4338000</v>
      </c>
      <c r="K73" s="132">
        <v>0.25</v>
      </c>
      <c r="L73" s="26" t="e">
        <f>#REF!*K73</f>
        <v>#REF!</v>
      </c>
      <c r="M73" s="26"/>
      <c r="N73" s="26"/>
      <c r="O73" s="26" t="e">
        <f>SUM(#REF!,L73)</f>
        <v>#REF!</v>
      </c>
      <c r="P73" s="63"/>
      <c r="Q73" s="63"/>
      <c r="R73" s="63"/>
      <c r="S73" s="63"/>
      <c r="T73" s="63"/>
      <c r="U73" s="63"/>
      <c r="V73" s="63"/>
      <c r="W73" s="63"/>
      <c r="X73" s="63"/>
      <c r="Y73" s="63"/>
      <c r="Z73" s="81">
        <v>4338000</v>
      </c>
      <c r="AA73" s="81">
        <v>600</v>
      </c>
      <c r="AB73" s="63"/>
      <c r="AC73" s="63"/>
      <c r="AD73" s="26">
        <f t="shared" si="14"/>
        <v>600</v>
      </c>
      <c r="AE73" s="132">
        <v>0.25</v>
      </c>
      <c r="AF73" s="26">
        <f t="shared" si="15"/>
        <v>150</v>
      </c>
      <c r="AG73" s="26"/>
      <c r="AH73" s="26"/>
      <c r="AI73" s="26">
        <f t="shared" si="16"/>
        <v>750</v>
      </c>
    </row>
    <row r="74" spans="1:35" ht="12.75">
      <c r="A74" s="26">
        <v>89</v>
      </c>
      <c r="B74" s="26" t="s">
        <v>51</v>
      </c>
      <c r="F74" s="26"/>
      <c r="G74" s="26" t="s">
        <v>52</v>
      </c>
      <c r="H74" s="26">
        <v>3569000</v>
      </c>
      <c r="I74" s="81">
        <f t="shared" si="13"/>
        <v>3784000</v>
      </c>
      <c r="J74" s="81">
        <v>4338000</v>
      </c>
      <c r="K74" s="132">
        <v>0.25</v>
      </c>
      <c r="L74" s="26" t="e">
        <f>#REF!*K74</f>
        <v>#REF!</v>
      </c>
      <c r="M74" s="26"/>
      <c r="N74" s="26"/>
      <c r="O74" s="26" t="e">
        <f>SUM(#REF!,L74)</f>
        <v>#REF!</v>
      </c>
      <c r="P74" s="63"/>
      <c r="Q74" s="63"/>
      <c r="R74" s="63"/>
      <c r="S74" s="63"/>
      <c r="T74" s="63"/>
      <c r="U74" s="63"/>
      <c r="V74" s="63"/>
      <c r="W74" s="63"/>
      <c r="X74" s="63"/>
      <c r="Y74" s="63"/>
      <c r="Z74" s="81">
        <v>4338000</v>
      </c>
      <c r="AA74" s="81">
        <v>528</v>
      </c>
      <c r="AB74" s="63"/>
      <c r="AC74" s="63"/>
      <c r="AD74" s="26">
        <f t="shared" si="14"/>
        <v>528</v>
      </c>
      <c r="AE74" s="132">
        <v>0.25</v>
      </c>
      <c r="AF74" s="26">
        <f t="shared" si="15"/>
        <v>132</v>
      </c>
      <c r="AG74" s="26"/>
      <c r="AH74" s="26"/>
      <c r="AI74" s="26">
        <f t="shared" si="16"/>
        <v>660</v>
      </c>
    </row>
    <row r="75" spans="1:35" ht="12.75">
      <c r="A75" s="26">
        <v>95</v>
      </c>
      <c r="B75" s="26" t="s">
        <v>524</v>
      </c>
      <c r="F75" s="26"/>
      <c r="G75" s="26" t="s">
        <v>58</v>
      </c>
      <c r="H75" s="26">
        <v>3406000</v>
      </c>
      <c r="I75" s="81">
        <f>CEILING(H75*1.06,1000)</f>
        <v>3611000</v>
      </c>
      <c r="J75" s="81">
        <v>4139000</v>
      </c>
      <c r="K75" s="132">
        <v>0.25</v>
      </c>
      <c r="L75" s="26" t="e">
        <f>#REF!*K75</f>
        <v>#REF!</v>
      </c>
      <c r="M75" s="26"/>
      <c r="N75" s="26"/>
      <c r="O75" s="26" t="e">
        <f>SUM(#REF!,L75)</f>
        <v>#REF!</v>
      </c>
      <c r="P75" s="63"/>
      <c r="Q75" s="63"/>
      <c r="R75" s="63"/>
      <c r="S75" s="63"/>
      <c r="T75" s="63"/>
      <c r="U75" s="63"/>
      <c r="V75" s="63"/>
      <c r="W75" s="63"/>
      <c r="X75" s="63"/>
      <c r="Y75" s="63"/>
      <c r="Z75" s="81">
        <v>4139000</v>
      </c>
      <c r="AA75" s="81">
        <v>571</v>
      </c>
      <c r="AB75" s="63"/>
      <c r="AC75" s="26">
        <f>AA75*15%</f>
        <v>85.64999999999999</v>
      </c>
      <c r="AD75" s="26">
        <f>SUM(AA75:AC75)</f>
        <v>656.65</v>
      </c>
      <c r="AE75" s="132">
        <v>0.25</v>
      </c>
      <c r="AF75" s="26">
        <f>AD75*AE75</f>
        <v>164.1625</v>
      </c>
      <c r="AG75" s="26"/>
      <c r="AH75" s="26"/>
      <c r="AI75" s="26">
        <f>SUM(AD75,AF75,AH75)</f>
        <v>820.8125</v>
      </c>
    </row>
    <row r="76" spans="1:35" ht="12.75">
      <c r="A76" s="26">
        <v>90</v>
      </c>
      <c r="B76" s="26" t="s">
        <v>53</v>
      </c>
      <c r="F76" s="26"/>
      <c r="G76" s="26" t="s">
        <v>54</v>
      </c>
      <c r="H76" s="26">
        <v>3856000</v>
      </c>
      <c r="I76" s="81">
        <f t="shared" si="13"/>
        <v>4088000</v>
      </c>
      <c r="J76" s="81">
        <v>4686000</v>
      </c>
      <c r="K76" s="132">
        <v>0.25</v>
      </c>
      <c r="L76" s="26" t="e">
        <f>#REF!*K76</f>
        <v>#REF!</v>
      </c>
      <c r="M76" s="26"/>
      <c r="N76" s="26"/>
      <c r="O76" s="26" t="e">
        <f>SUM(#REF!,L76)</f>
        <v>#REF!</v>
      </c>
      <c r="P76" s="63"/>
      <c r="Q76" s="63"/>
      <c r="R76" s="63"/>
      <c r="S76" s="63"/>
      <c r="T76" s="63"/>
      <c r="U76" s="63"/>
      <c r="V76" s="63"/>
      <c r="W76" s="63"/>
      <c r="X76" s="63"/>
      <c r="Y76" s="63"/>
      <c r="Z76" s="81">
        <v>4686000</v>
      </c>
      <c r="AA76" s="81">
        <v>504</v>
      </c>
      <c r="AB76" s="63"/>
      <c r="AC76" s="26"/>
      <c r="AD76" s="26">
        <f t="shared" si="14"/>
        <v>504</v>
      </c>
      <c r="AE76" s="132">
        <v>0.25</v>
      </c>
      <c r="AF76" s="26">
        <f t="shared" si="15"/>
        <v>126</v>
      </c>
      <c r="AG76" s="26"/>
      <c r="AH76" s="26"/>
      <c r="AI76" s="26">
        <f t="shared" si="16"/>
        <v>630</v>
      </c>
    </row>
    <row r="77" spans="1:35" ht="12.75">
      <c r="A77" s="26">
        <v>91</v>
      </c>
      <c r="B77" s="26" t="s">
        <v>53</v>
      </c>
      <c r="F77" s="26"/>
      <c r="G77" s="26" t="s">
        <v>155</v>
      </c>
      <c r="H77" s="26">
        <v>3406000</v>
      </c>
      <c r="I77" s="81">
        <f t="shared" si="13"/>
        <v>3611000</v>
      </c>
      <c r="J77" s="81">
        <v>4139000</v>
      </c>
      <c r="K77" s="132">
        <v>0.25</v>
      </c>
      <c r="L77" s="26" t="e">
        <f>#REF!*K77</f>
        <v>#REF!</v>
      </c>
      <c r="M77" s="26"/>
      <c r="N77" s="26"/>
      <c r="O77" s="26" t="e">
        <f>SUM(#REF!,L77)</f>
        <v>#REF!</v>
      </c>
      <c r="P77" s="63"/>
      <c r="Q77" s="63"/>
      <c r="R77" s="63"/>
      <c r="S77" s="63"/>
      <c r="T77" s="63"/>
      <c r="U77" s="63"/>
      <c r="V77" s="63"/>
      <c r="W77" s="63"/>
      <c r="X77" s="63"/>
      <c r="Y77" s="63"/>
      <c r="Z77" s="81">
        <v>4139000</v>
      </c>
      <c r="AA77" s="81">
        <v>504</v>
      </c>
      <c r="AB77" s="63"/>
      <c r="AC77" s="26">
        <f>AA77*15%</f>
        <v>75.6</v>
      </c>
      <c r="AD77" s="26">
        <f t="shared" si="14"/>
        <v>579.6</v>
      </c>
      <c r="AE77" s="132">
        <v>0.25</v>
      </c>
      <c r="AF77" s="26">
        <f t="shared" si="15"/>
        <v>144.9</v>
      </c>
      <c r="AG77" s="26"/>
      <c r="AH77" s="26"/>
      <c r="AI77" s="26">
        <f t="shared" si="16"/>
        <v>724.5</v>
      </c>
    </row>
    <row r="78" spans="1:35" ht="12.75">
      <c r="A78" s="26">
        <v>92</v>
      </c>
      <c r="B78" s="26" t="s">
        <v>53</v>
      </c>
      <c r="F78" s="26"/>
      <c r="G78" s="26" t="s">
        <v>55</v>
      </c>
      <c r="H78" s="26">
        <v>3406000</v>
      </c>
      <c r="I78" s="81">
        <f t="shared" si="13"/>
        <v>3611000</v>
      </c>
      <c r="J78" s="81">
        <v>4139000</v>
      </c>
      <c r="K78" s="132">
        <v>0.25</v>
      </c>
      <c r="L78" s="26" t="e">
        <f>#REF!*K78</f>
        <v>#REF!</v>
      </c>
      <c r="M78" s="26"/>
      <c r="N78" s="26"/>
      <c r="O78" s="26" t="e">
        <f>SUM(#REF!,L78)</f>
        <v>#REF!</v>
      </c>
      <c r="P78" s="63"/>
      <c r="Q78" s="63"/>
      <c r="R78" s="63"/>
      <c r="S78" s="63"/>
      <c r="T78" s="63"/>
      <c r="U78" s="63"/>
      <c r="V78" s="63"/>
      <c r="W78" s="63"/>
      <c r="X78" s="63"/>
      <c r="Y78" s="63"/>
      <c r="Z78" s="81">
        <v>4139000</v>
      </c>
      <c r="AA78" s="81">
        <v>504</v>
      </c>
      <c r="AB78" s="63"/>
      <c r="AC78" s="63"/>
      <c r="AD78" s="26">
        <f t="shared" si="14"/>
        <v>504</v>
      </c>
      <c r="AE78" s="132">
        <v>0.25</v>
      </c>
      <c r="AF78" s="26">
        <f t="shared" si="15"/>
        <v>126</v>
      </c>
      <c r="AG78" s="26"/>
      <c r="AH78" s="26"/>
      <c r="AI78" s="26">
        <f t="shared" si="16"/>
        <v>630</v>
      </c>
    </row>
    <row r="79" spans="1:35" ht="12.75">
      <c r="A79" s="26">
        <v>93</v>
      </c>
      <c r="B79" s="26" t="s">
        <v>53</v>
      </c>
      <c r="F79" s="26"/>
      <c r="G79" s="26" t="s">
        <v>56</v>
      </c>
      <c r="H79" s="26">
        <v>3406000</v>
      </c>
      <c r="I79" s="81">
        <f t="shared" si="13"/>
        <v>3611000</v>
      </c>
      <c r="J79" s="81">
        <v>4139000</v>
      </c>
      <c r="K79" s="132">
        <v>0.25</v>
      </c>
      <c r="L79" s="26" t="e">
        <f>#REF!*K79</f>
        <v>#REF!</v>
      </c>
      <c r="M79" s="26"/>
      <c r="N79" s="26"/>
      <c r="O79" s="26" t="e">
        <f>SUM(#REF!,L79)</f>
        <v>#REF!</v>
      </c>
      <c r="P79" s="63"/>
      <c r="Q79" s="63"/>
      <c r="R79" s="63"/>
      <c r="S79" s="63"/>
      <c r="T79" s="63"/>
      <c r="U79" s="63"/>
      <c r="V79" s="63"/>
      <c r="W79" s="63"/>
      <c r="X79" s="63"/>
      <c r="Y79" s="63"/>
      <c r="Z79" s="81">
        <v>4139000</v>
      </c>
      <c r="AA79" s="81">
        <v>504</v>
      </c>
      <c r="AB79" s="63"/>
      <c r="AC79" s="63"/>
      <c r="AD79" s="26">
        <f t="shared" si="14"/>
        <v>504</v>
      </c>
      <c r="AE79" s="132">
        <v>0.25</v>
      </c>
      <c r="AF79" s="26">
        <f t="shared" si="15"/>
        <v>126</v>
      </c>
      <c r="AG79" s="26"/>
      <c r="AH79" s="26"/>
      <c r="AI79" s="26">
        <f t="shared" si="16"/>
        <v>630</v>
      </c>
    </row>
    <row r="80" spans="1:35" ht="12.75">
      <c r="A80" s="26">
        <v>96</v>
      </c>
      <c r="B80" s="26" t="s">
        <v>53</v>
      </c>
      <c r="F80" s="26"/>
      <c r="G80" s="26" t="s">
        <v>59</v>
      </c>
      <c r="H80" s="26">
        <v>3406000</v>
      </c>
      <c r="I80" s="81">
        <f t="shared" si="13"/>
        <v>3611000</v>
      </c>
      <c r="J80" s="81">
        <v>4139000</v>
      </c>
      <c r="K80" s="132">
        <v>0.15</v>
      </c>
      <c r="L80" s="26" t="e">
        <f>#REF!*K80</f>
        <v>#REF!</v>
      </c>
      <c r="M80" s="26"/>
      <c r="N80" s="26"/>
      <c r="O80" s="26" t="e">
        <f>SUM(#REF!,L80)</f>
        <v>#REF!</v>
      </c>
      <c r="P80" s="63"/>
      <c r="Q80" s="63"/>
      <c r="R80" s="63"/>
      <c r="S80" s="63"/>
      <c r="T80" s="63"/>
      <c r="U80" s="63"/>
      <c r="V80" s="63"/>
      <c r="W80" s="63"/>
      <c r="X80" s="63"/>
      <c r="Y80" s="63"/>
      <c r="Z80" s="81">
        <v>4139000</v>
      </c>
      <c r="AA80" s="81">
        <v>504</v>
      </c>
      <c r="AB80" s="63"/>
      <c r="AC80" s="26">
        <f>AA80*15%</f>
        <v>75.6</v>
      </c>
      <c r="AD80" s="26">
        <f t="shared" si="14"/>
        <v>579.6</v>
      </c>
      <c r="AE80" s="132">
        <v>0.15</v>
      </c>
      <c r="AF80" s="26">
        <f t="shared" si="15"/>
        <v>86.94</v>
      </c>
      <c r="AG80" s="26"/>
      <c r="AH80" s="26"/>
      <c r="AI80" s="26">
        <f t="shared" si="16"/>
        <v>666.54</v>
      </c>
    </row>
    <row r="81" spans="1:35" ht="12.75">
      <c r="A81" s="26">
        <v>97</v>
      </c>
      <c r="B81" s="26" t="s">
        <v>60</v>
      </c>
      <c r="F81" s="26"/>
      <c r="G81" s="26" t="s">
        <v>240</v>
      </c>
      <c r="H81" s="26">
        <v>3406000</v>
      </c>
      <c r="I81" s="81">
        <f t="shared" si="13"/>
        <v>3611000</v>
      </c>
      <c r="J81" s="81">
        <v>4139000</v>
      </c>
      <c r="K81" s="132">
        <v>0.25</v>
      </c>
      <c r="L81" s="26" t="e">
        <f>#REF!*K81</f>
        <v>#REF!</v>
      </c>
      <c r="M81" s="132">
        <v>0.12</v>
      </c>
      <c r="N81" s="26" t="e">
        <f>#REF!*M81</f>
        <v>#REF!</v>
      </c>
      <c r="O81" s="26" t="e">
        <f>SUM(#REF!,L81:N81)</f>
        <v>#REF!</v>
      </c>
      <c r="P81" s="63"/>
      <c r="Q81" s="63"/>
      <c r="R81" s="63"/>
      <c r="S81" s="63"/>
      <c r="T81" s="63"/>
      <c r="U81" s="63"/>
      <c r="V81" s="63"/>
      <c r="W81" s="63"/>
      <c r="X81" s="63"/>
      <c r="Y81" s="63"/>
      <c r="Z81" s="81">
        <v>4139000</v>
      </c>
      <c r="AA81" s="81">
        <v>504</v>
      </c>
      <c r="AB81" s="63"/>
      <c r="AC81" s="63"/>
      <c r="AD81" s="26">
        <f t="shared" si="14"/>
        <v>504</v>
      </c>
      <c r="AE81" s="132">
        <v>0.25</v>
      </c>
      <c r="AF81" s="26">
        <f t="shared" si="15"/>
        <v>126</v>
      </c>
      <c r="AG81" s="132">
        <v>0.1</v>
      </c>
      <c r="AH81" s="269">
        <f>AD81*10%</f>
        <v>50.400000000000006</v>
      </c>
      <c r="AI81" s="26">
        <f t="shared" si="16"/>
        <v>680.4</v>
      </c>
    </row>
    <row r="82" spans="1:35" ht="12.75">
      <c r="A82" s="26">
        <v>98</v>
      </c>
      <c r="B82" s="26" t="s">
        <v>61</v>
      </c>
      <c r="F82" s="26"/>
      <c r="G82" s="26" t="s">
        <v>62</v>
      </c>
      <c r="H82" s="26">
        <v>3406000</v>
      </c>
      <c r="I82" s="81">
        <f t="shared" si="13"/>
        <v>3611000</v>
      </c>
      <c r="J82" s="81">
        <v>4139000</v>
      </c>
      <c r="K82" s="132">
        <v>0.25</v>
      </c>
      <c r="L82" s="26" t="e">
        <f>#REF!*K82</f>
        <v>#REF!</v>
      </c>
      <c r="M82" s="132">
        <v>0.15</v>
      </c>
      <c r="N82" s="26" t="e">
        <f>#REF!*M82</f>
        <v>#REF!</v>
      </c>
      <c r="O82" s="26" t="e">
        <f>SUM(#REF!,L82:N82)</f>
        <v>#REF!</v>
      </c>
      <c r="P82" s="63"/>
      <c r="Q82" s="63"/>
      <c r="R82" s="63"/>
      <c r="S82" s="63"/>
      <c r="T82" s="63"/>
      <c r="U82" s="63"/>
      <c r="V82" s="63"/>
      <c r="W82" s="63"/>
      <c r="X82" s="63"/>
      <c r="Y82" s="63"/>
      <c r="Z82" s="81">
        <v>4139000</v>
      </c>
      <c r="AA82" s="81">
        <v>504</v>
      </c>
      <c r="AB82" s="63"/>
      <c r="AC82" s="63"/>
      <c r="AD82" s="26">
        <f t="shared" si="14"/>
        <v>504</v>
      </c>
      <c r="AE82" s="132">
        <v>0.25</v>
      </c>
      <c r="AF82" s="26">
        <f t="shared" si="15"/>
        <v>126</v>
      </c>
      <c r="AG82" s="132">
        <v>0.1</v>
      </c>
      <c r="AH82" s="269">
        <f>AD82*10%</f>
        <v>50.400000000000006</v>
      </c>
      <c r="AI82" s="26">
        <f t="shared" si="16"/>
        <v>680.4</v>
      </c>
    </row>
    <row r="83" spans="1:35" ht="12.75">
      <c r="A83" s="26">
        <v>99</v>
      </c>
      <c r="B83" s="26" t="s">
        <v>63</v>
      </c>
      <c r="F83" s="26"/>
      <c r="G83" s="26" t="s">
        <v>64</v>
      </c>
      <c r="H83" s="26">
        <v>3406000</v>
      </c>
      <c r="I83" s="81">
        <f t="shared" si="13"/>
        <v>3611000</v>
      </c>
      <c r="J83" s="81">
        <v>4139000</v>
      </c>
      <c r="K83" s="132">
        <v>0.25</v>
      </c>
      <c r="L83" s="26" t="e">
        <f>#REF!*K83</f>
        <v>#REF!</v>
      </c>
      <c r="M83" s="26"/>
      <c r="N83" s="26"/>
      <c r="O83" s="26" t="e">
        <f>SUM(#REF!,L83)</f>
        <v>#REF!</v>
      </c>
      <c r="P83" s="63"/>
      <c r="Q83" s="63"/>
      <c r="R83" s="63"/>
      <c r="S83" s="63"/>
      <c r="T83" s="63"/>
      <c r="U83" s="63"/>
      <c r="V83" s="63"/>
      <c r="W83" s="63"/>
      <c r="X83" s="63"/>
      <c r="Y83" s="63"/>
      <c r="Z83" s="81">
        <v>4139000</v>
      </c>
      <c r="AA83" s="81">
        <v>504</v>
      </c>
      <c r="AB83" s="63"/>
      <c r="AC83" s="63"/>
      <c r="AD83" s="26">
        <f t="shared" si="14"/>
        <v>504</v>
      </c>
      <c r="AE83" s="132">
        <v>0.25</v>
      </c>
      <c r="AF83" s="26">
        <f t="shared" si="15"/>
        <v>126</v>
      </c>
      <c r="AG83" s="26"/>
      <c r="AH83" s="26"/>
      <c r="AI83" s="26">
        <f t="shared" si="16"/>
        <v>630</v>
      </c>
    </row>
    <row r="84" spans="1:35" ht="12.75">
      <c r="A84" s="26">
        <v>100</v>
      </c>
      <c r="B84" s="26" t="s">
        <v>63</v>
      </c>
      <c r="F84" s="26"/>
      <c r="G84" s="26" t="s">
        <v>65</v>
      </c>
      <c r="H84" s="26">
        <v>3406000</v>
      </c>
      <c r="I84" s="81">
        <f t="shared" si="13"/>
        <v>3611000</v>
      </c>
      <c r="J84" s="81">
        <v>4139000</v>
      </c>
      <c r="K84" s="132">
        <v>0.2</v>
      </c>
      <c r="L84" s="26" t="e">
        <f>#REF!*K84</f>
        <v>#REF!</v>
      </c>
      <c r="M84" s="26"/>
      <c r="N84" s="26"/>
      <c r="O84" s="26" t="e">
        <f>SUM(#REF!,L84)</f>
        <v>#REF!</v>
      </c>
      <c r="P84" s="63"/>
      <c r="Q84" s="63"/>
      <c r="R84" s="63"/>
      <c r="S84" s="63"/>
      <c r="T84" s="63"/>
      <c r="U84" s="63"/>
      <c r="V84" s="63"/>
      <c r="W84" s="63"/>
      <c r="X84" s="63"/>
      <c r="Y84" s="63"/>
      <c r="Z84" s="81">
        <v>4139000</v>
      </c>
      <c r="AA84" s="81">
        <v>504</v>
      </c>
      <c r="AB84" s="63"/>
      <c r="AC84" s="63"/>
      <c r="AD84" s="26">
        <f t="shared" si="14"/>
        <v>504</v>
      </c>
      <c r="AE84" s="132">
        <v>0.2</v>
      </c>
      <c r="AF84" s="26">
        <f t="shared" si="15"/>
        <v>100.80000000000001</v>
      </c>
      <c r="AG84" s="26"/>
      <c r="AH84" s="26"/>
      <c r="AI84" s="26">
        <f t="shared" si="16"/>
        <v>604.8</v>
      </c>
    </row>
    <row r="85" spans="1:35" ht="12.75">
      <c r="A85" s="26">
        <v>101</v>
      </c>
      <c r="B85" s="26" t="s">
        <v>63</v>
      </c>
      <c r="F85" s="26"/>
      <c r="G85" s="26" t="s">
        <v>66</v>
      </c>
      <c r="H85" s="26">
        <v>3406000</v>
      </c>
      <c r="I85" s="81">
        <f t="shared" si="13"/>
        <v>3611000</v>
      </c>
      <c r="J85" s="81">
        <v>4139000</v>
      </c>
      <c r="K85" s="132">
        <v>0.25</v>
      </c>
      <c r="L85" s="26" t="e">
        <f>#REF!*K85</f>
        <v>#REF!</v>
      </c>
      <c r="M85" s="26"/>
      <c r="N85" s="26"/>
      <c r="O85" s="26" t="e">
        <f>SUM(#REF!,L85)</f>
        <v>#REF!</v>
      </c>
      <c r="P85" s="63"/>
      <c r="Q85" s="63"/>
      <c r="R85" s="63"/>
      <c r="S85" s="63"/>
      <c r="T85" s="63"/>
      <c r="U85" s="63"/>
      <c r="V85" s="63"/>
      <c r="W85" s="63"/>
      <c r="X85" s="63"/>
      <c r="Y85" s="63"/>
      <c r="Z85" s="81">
        <v>4139000</v>
      </c>
      <c r="AA85" s="81">
        <v>504</v>
      </c>
      <c r="AB85" s="63"/>
      <c r="AC85" s="63"/>
      <c r="AD85" s="26">
        <f t="shared" si="14"/>
        <v>504</v>
      </c>
      <c r="AE85" s="132">
        <v>0.25</v>
      </c>
      <c r="AF85" s="26">
        <f t="shared" si="15"/>
        <v>126</v>
      </c>
      <c r="AG85" s="26"/>
      <c r="AH85" s="26"/>
      <c r="AI85" s="26">
        <f t="shared" si="16"/>
        <v>630</v>
      </c>
    </row>
    <row r="86" spans="1:35" ht="12.75">
      <c r="A86" s="26">
        <v>94</v>
      </c>
      <c r="B86" s="26" t="s">
        <v>522</v>
      </c>
      <c r="F86" s="26"/>
      <c r="G86" s="26" t="s">
        <v>57</v>
      </c>
      <c r="H86" s="26">
        <v>3406000</v>
      </c>
      <c r="I86" s="81">
        <f>CEILING(H86*1.06,1000)</f>
        <v>3611000</v>
      </c>
      <c r="J86" s="81">
        <v>4139000</v>
      </c>
      <c r="K86" s="132">
        <v>0.25</v>
      </c>
      <c r="L86" s="26" t="e">
        <f>#REF!*K86</f>
        <v>#REF!</v>
      </c>
      <c r="M86" s="26"/>
      <c r="N86" s="26"/>
      <c r="O86" s="26" t="e">
        <f>SUM(#REF!,L86)</f>
        <v>#REF!</v>
      </c>
      <c r="P86" s="63"/>
      <c r="Q86" s="63"/>
      <c r="R86" s="63"/>
      <c r="S86" s="63"/>
      <c r="T86" s="63"/>
      <c r="U86" s="63"/>
      <c r="V86" s="63"/>
      <c r="W86" s="63"/>
      <c r="X86" s="63"/>
      <c r="Y86" s="63"/>
      <c r="Z86" s="81">
        <v>4139000</v>
      </c>
      <c r="AA86" s="81">
        <v>429</v>
      </c>
      <c r="AB86" s="63"/>
      <c r="AC86" s="63"/>
      <c r="AD86" s="26">
        <f>SUM(AA86:AC86)</f>
        <v>429</v>
      </c>
      <c r="AE86" s="132">
        <v>0.25</v>
      </c>
      <c r="AF86" s="26">
        <f>AD86*AE86</f>
        <v>107.25</v>
      </c>
      <c r="AG86" s="26"/>
      <c r="AH86" s="26"/>
      <c r="AI86" s="26">
        <f>SUM(AD86,AF86,AH86)</f>
        <v>536.25</v>
      </c>
    </row>
    <row r="87" spans="1:35" ht="12.75">
      <c r="A87" s="26">
        <v>102</v>
      </c>
      <c r="B87" s="26" t="s">
        <v>399</v>
      </c>
      <c r="F87" s="26"/>
      <c r="G87" s="26" t="s">
        <v>400</v>
      </c>
      <c r="H87" s="26"/>
      <c r="I87" s="81"/>
      <c r="J87" s="81"/>
      <c r="K87" s="132"/>
      <c r="L87" s="26"/>
      <c r="M87" s="26"/>
      <c r="N87" s="26"/>
      <c r="O87" s="26"/>
      <c r="P87" s="63"/>
      <c r="Q87" s="63"/>
      <c r="R87" s="63"/>
      <c r="S87" s="63"/>
      <c r="T87" s="63"/>
      <c r="U87" s="63"/>
      <c r="V87" s="63"/>
      <c r="W87" s="63"/>
      <c r="X87" s="63"/>
      <c r="Y87" s="63"/>
      <c r="Z87" s="81">
        <v>3511000</v>
      </c>
      <c r="AA87" s="81">
        <v>429</v>
      </c>
      <c r="AB87" s="63"/>
      <c r="AC87" s="63"/>
      <c r="AD87" s="26">
        <f t="shared" si="14"/>
        <v>429</v>
      </c>
      <c r="AE87" s="132">
        <v>0.25</v>
      </c>
      <c r="AF87" s="26">
        <f t="shared" si="15"/>
        <v>107.25</v>
      </c>
      <c r="AG87" s="26"/>
      <c r="AH87" s="26"/>
      <c r="AI87" s="26">
        <f t="shared" si="16"/>
        <v>536.25</v>
      </c>
    </row>
    <row r="88" spans="1:35" ht="12.75">
      <c r="A88" s="26">
        <v>103</v>
      </c>
      <c r="B88" s="26" t="s">
        <v>399</v>
      </c>
      <c r="F88" s="26"/>
      <c r="G88" s="26" t="s">
        <v>402</v>
      </c>
      <c r="H88" s="26"/>
      <c r="I88" s="81"/>
      <c r="J88" s="81"/>
      <c r="K88" s="132"/>
      <c r="L88" s="26"/>
      <c r="M88" s="26"/>
      <c r="N88" s="26"/>
      <c r="O88" s="26"/>
      <c r="P88" s="63"/>
      <c r="Q88" s="63"/>
      <c r="R88" s="63"/>
      <c r="S88" s="63"/>
      <c r="T88" s="63"/>
      <c r="U88" s="63"/>
      <c r="V88" s="63"/>
      <c r="W88" s="63"/>
      <c r="X88" s="63"/>
      <c r="Y88" s="63"/>
      <c r="Z88" s="81">
        <v>3511000</v>
      </c>
      <c r="AA88" s="81">
        <v>429</v>
      </c>
      <c r="AB88" s="63"/>
      <c r="AC88" s="63"/>
      <c r="AD88" s="26">
        <f t="shared" si="14"/>
        <v>429</v>
      </c>
      <c r="AE88" s="132">
        <v>0.1</v>
      </c>
      <c r="AF88" s="26">
        <f t="shared" si="15"/>
        <v>42.900000000000006</v>
      </c>
      <c r="AG88" s="26"/>
      <c r="AH88" s="26"/>
      <c r="AI88" s="26">
        <f t="shared" si="16"/>
        <v>471.9</v>
      </c>
    </row>
    <row r="89" spans="1:35" ht="12.75">
      <c r="A89" s="26">
        <v>104</v>
      </c>
      <c r="B89" s="26" t="s">
        <v>399</v>
      </c>
      <c r="F89" s="26"/>
      <c r="G89" s="26" t="s">
        <v>403</v>
      </c>
      <c r="H89" s="26"/>
      <c r="I89" s="81"/>
      <c r="J89" s="81"/>
      <c r="K89" s="132"/>
      <c r="L89" s="26"/>
      <c r="M89" s="26"/>
      <c r="N89" s="26"/>
      <c r="O89" s="26"/>
      <c r="P89" s="63"/>
      <c r="Q89" s="63"/>
      <c r="R89" s="63"/>
      <c r="S89" s="63"/>
      <c r="T89" s="63"/>
      <c r="U89" s="63"/>
      <c r="V89" s="63"/>
      <c r="W89" s="63"/>
      <c r="X89" s="63"/>
      <c r="Y89" s="63"/>
      <c r="Z89" s="81">
        <v>3511000</v>
      </c>
      <c r="AA89" s="81">
        <v>429</v>
      </c>
      <c r="AB89" s="63"/>
      <c r="AC89" s="63"/>
      <c r="AD89" s="26">
        <f t="shared" si="14"/>
        <v>429</v>
      </c>
      <c r="AE89" s="132">
        <v>0.2</v>
      </c>
      <c r="AF89" s="26">
        <f t="shared" si="15"/>
        <v>85.80000000000001</v>
      </c>
      <c r="AG89" s="26"/>
      <c r="AH89" s="26"/>
      <c r="AI89" s="26">
        <f t="shared" si="16"/>
        <v>514.8</v>
      </c>
    </row>
    <row r="90" spans="1:35" ht="12.75">
      <c r="A90" s="26">
        <v>105</v>
      </c>
      <c r="B90" s="26" t="s">
        <v>399</v>
      </c>
      <c r="F90" s="26"/>
      <c r="G90" s="26" t="s">
        <v>404</v>
      </c>
      <c r="H90" s="26"/>
      <c r="I90" s="81"/>
      <c r="J90" s="81"/>
      <c r="K90" s="132"/>
      <c r="L90" s="26"/>
      <c r="M90" s="26"/>
      <c r="N90" s="26"/>
      <c r="O90" s="26"/>
      <c r="P90" s="63"/>
      <c r="Q90" s="63"/>
      <c r="R90" s="63"/>
      <c r="S90" s="63"/>
      <c r="T90" s="63"/>
      <c r="U90" s="63"/>
      <c r="V90" s="63"/>
      <c r="W90" s="63"/>
      <c r="X90" s="63"/>
      <c r="Y90" s="63"/>
      <c r="Z90" s="81">
        <v>3511000</v>
      </c>
      <c r="AA90" s="81">
        <v>429</v>
      </c>
      <c r="AB90" s="63"/>
      <c r="AC90" s="63"/>
      <c r="AD90" s="26">
        <f t="shared" si="14"/>
        <v>429</v>
      </c>
      <c r="AE90" s="132">
        <v>0.15</v>
      </c>
      <c r="AF90" s="26">
        <f t="shared" si="15"/>
        <v>64.35</v>
      </c>
      <c r="AG90" s="26"/>
      <c r="AH90" s="26"/>
      <c r="AI90" s="26">
        <f t="shared" si="16"/>
        <v>493.35</v>
      </c>
    </row>
    <row r="91" spans="1:35" ht="12.75">
      <c r="A91" s="26">
        <v>106</v>
      </c>
      <c r="B91" s="26" t="s">
        <v>399</v>
      </c>
      <c r="F91" s="26"/>
      <c r="G91" s="26" t="s">
        <v>405</v>
      </c>
      <c r="H91" s="26"/>
      <c r="I91" s="81"/>
      <c r="J91" s="81"/>
      <c r="K91" s="132"/>
      <c r="L91" s="26"/>
      <c r="M91" s="26"/>
      <c r="N91" s="26"/>
      <c r="O91" s="26"/>
      <c r="P91" s="63"/>
      <c r="Q91" s="63"/>
      <c r="R91" s="63"/>
      <c r="S91" s="63"/>
      <c r="T91" s="63"/>
      <c r="U91" s="63"/>
      <c r="V91" s="63"/>
      <c r="W91" s="63"/>
      <c r="X91" s="63"/>
      <c r="Y91" s="63"/>
      <c r="Z91" s="81">
        <v>3511000</v>
      </c>
      <c r="AA91" s="81">
        <v>429</v>
      </c>
      <c r="AB91" s="63"/>
      <c r="AC91" s="26">
        <f>AA91*15%</f>
        <v>64.35</v>
      </c>
      <c r="AD91" s="26">
        <f t="shared" si="14"/>
        <v>493.35</v>
      </c>
      <c r="AE91" s="132">
        <v>0.2</v>
      </c>
      <c r="AF91" s="26">
        <f t="shared" si="15"/>
        <v>98.67000000000002</v>
      </c>
      <c r="AG91" s="26"/>
      <c r="AH91" s="26"/>
      <c r="AI91" s="26">
        <f t="shared" si="16"/>
        <v>592.02</v>
      </c>
    </row>
    <row r="92" spans="1:35" ht="12.75">
      <c r="A92" s="26">
        <v>107</v>
      </c>
      <c r="B92" s="26" t="s">
        <v>399</v>
      </c>
      <c r="F92" s="26"/>
      <c r="G92" s="26" t="s">
        <v>406</v>
      </c>
      <c r="H92" s="26"/>
      <c r="I92" s="81"/>
      <c r="J92" s="81"/>
      <c r="K92" s="132"/>
      <c r="L92" s="26"/>
      <c r="M92" s="26"/>
      <c r="N92" s="26"/>
      <c r="O92" s="26"/>
      <c r="P92" s="63"/>
      <c r="Q92" s="63"/>
      <c r="R92" s="63"/>
      <c r="S92" s="63"/>
      <c r="T92" s="63"/>
      <c r="U92" s="63"/>
      <c r="V92" s="63"/>
      <c r="W92" s="63"/>
      <c r="X92" s="63"/>
      <c r="Y92" s="63"/>
      <c r="Z92" s="81">
        <v>3511000</v>
      </c>
      <c r="AA92" s="81">
        <v>429</v>
      </c>
      <c r="AB92" s="63"/>
      <c r="AC92" s="63"/>
      <c r="AD92" s="26">
        <f t="shared" si="14"/>
        <v>429</v>
      </c>
      <c r="AE92" s="132">
        <v>0.25</v>
      </c>
      <c r="AF92" s="26">
        <f t="shared" si="15"/>
        <v>107.25</v>
      </c>
      <c r="AG92" s="26"/>
      <c r="AH92" s="26"/>
      <c r="AI92" s="26">
        <f t="shared" si="16"/>
        <v>536.25</v>
      </c>
    </row>
    <row r="93" spans="1:35" ht="12.75">
      <c r="A93" s="26">
        <v>108</v>
      </c>
      <c r="B93" s="26" t="s">
        <v>399</v>
      </c>
      <c r="F93" s="26"/>
      <c r="G93" s="26" t="s">
        <v>401</v>
      </c>
      <c r="H93" s="26"/>
      <c r="I93" s="81"/>
      <c r="J93" s="81"/>
      <c r="K93" s="132"/>
      <c r="L93" s="26"/>
      <c r="M93" s="26"/>
      <c r="N93" s="26"/>
      <c r="O93" s="26"/>
      <c r="P93" s="63"/>
      <c r="Q93" s="63"/>
      <c r="R93" s="63"/>
      <c r="S93" s="63"/>
      <c r="T93" s="63"/>
      <c r="U93" s="63"/>
      <c r="V93" s="63"/>
      <c r="W93" s="63"/>
      <c r="X93" s="63"/>
      <c r="Y93" s="63"/>
      <c r="Z93" s="81">
        <v>3511000</v>
      </c>
      <c r="AA93" s="81">
        <v>429</v>
      </c>
      <c r="AB93" s="63"/>
      <c r="AC93" s="63"/>
      <c r="AD93" s="26">
        <f t="shared" si="14"/>
        <v>429</v>
      </c>
      <c r="AE93" s="132">
        <v>0.25</v>
      </c>
      <c r="AF93" s="26">
        <f t="shared" si="15"/>
        <v>107.25</v>
      </c>
      <c r="AG93" s="26"/>
      <c r="AH93" s="26"/>
      <c r="AI93" s="26">
        <f t="shared" si="16"/>
        <v>536.25</v>
      </c>
    </row>
    <row r="94" spans="1:35" ht="12.75">
      <c r="A94" s="26">
        <v>109</v>
      </c>
      <c r="B94" s="26" t="s">
        <v>393</v>
      </c>
      <c r="F94" s="26"/>
      <c r="G94" s="26" t="s">
        <v>392</v>
      </c>
      <c r="H94" s="26"/>
      <c r="I94" s="81"/>
      <c r="J94" s="81"/>
      <c r="K94" s="132"/>
      <c r="L94" s="26"/>
      <c r="M94" s="26"/>
      <c r="N94" s="26"/>
      <c r="O94" s="26"/>
      <c r="P94" s="63"/>
      <c r="Q94" s="63"/>
      <c r="R94" s="63"/>
      <c r="S94" s="63"/>
      <c r="T94" s="63"/>
      <c r="U94" s="63"/>
      <c r="V94" s="63"/>
      <c r="W94" s="63"/>
      <c r="X94" s="63"/>
      <c r="Y94" s="63"/>
      <c r="Z94" s="81">
        <v>4139000</v>
      </c>
      <c r="AA94" s="81">
        <v>504</v>
      </c>
      <c r="AB94" s="63"/>
      <c r="AC94" s="63"/>
      <c r="AD94" s="26">
        <f t="shared" si="14"/>
        <v>504</v>
      </c>
      <c r="AE94" s="132">
        <v>0.25</v>
      </c>
      <c r="AF94" s="26">
        <f t="shared" si="15"/>
        <v>126</v>
      </c>
      <c r="AG94" s="26"/>
      <c r="AH94" s="26"/>
      <c r="AI94" s="26">
        <f t="shared" si="16"/>
        <v>630</v>
      </c>
    </row>
    <row r="95" spans="1:35" ht="12.75">
      <c r="A95" s="26">
        <v>110</v>
      </c>
      <c r="B95" s="26" t="s">
        <v>394</v>
      </c>
      <c r="F95" s="26"/>
      <c r="G95" s="26" t="s">
        <v>395</v>
      </c>
      <c r="H95" s="26"/>
      <c r="I95" s="81"/>
      <c r="J95" s="81"/>
      <c r="K95" s="132"/>
      <c r="L95" s="26"/>
      <c r="M95" s="26"/>
      <c r="N95" s="26"/>
      <c r="O95" s="26"/>
      <c r="P95" s="63"/>
      <c r="Q95" s="63"/>
      <c r="R95" s="63"/>
      <c r="S95" s="63"/>
      <c r="T95" s="63"/>
      <c r="U95" s="63"/>
      <c r="V95" s="63"/>
      <c r="W95" s="63"/>
      <c r="X95" s="63"/>
      <c r="Y95" s="63"/>
      <c r="Z95" s="81">
        <v>4139000</v>
      </c>
      <c r="AA95" s="81">
        <v>504</v>
      </c>
      <c r="AB95" s="63"/>
      <c r="AC95" s="63"/>
      <c r="AD95" s="26">
        <f t="shared" si="14"/>
        <v>504</v>
      </c>
      <c r="AE95" s="132">
        <v>0.25</v>
      </c>
      <c r="AF95" s="26">
        <f t="shared" si="15"/>
        <v>126</v>
      </c>
      <c r="AG95" s="26"/>
      <c r="AH95" s="26"/>
      <c r="AI95" s="26">
        <f t="shared" si="16"/>
        <v>630</v>
      </c>
    </row>
    <row r="96" spans="1:35" ht="12.75">
      <c r="A96" s="26">
        <v>111</v>
      </c>
      <c r="B96" s="26" t="s">
        <v>396</v>
      </c>
      <c r="F96" s="26"/>
      <c r="G96" s="26" t="s">
        <v>397</v>
      </c>
      <c r="H96" s="26"/>
      <c r="I96" s="81"/>
      <c r="J96" s="81"/>
      <c r="K96" s="132"/>
      <c r="L96" s="26"/>
      <c r="M96" s="26"/>
      <c r="N96" s="26"/>
      <c r="O96" s="26"/>
      <c r="P96" s="63"/>
      <c r="Q96" s="63"/>
      <c r="R96" s="63"/>
      <c r="S96" s="63"/>
      <c r="T96" s="63"/>
      <c r="U96" s="63"/>
      <c r="V96" s="63"/>
      <c r="W96" s="63"/>
      <c r="X96" s="63"/>
      <c r="Y96" s="63"/>
      <c r="Z96" s="81">
        <v>4139000</v>
      </c>
      <c r="AA96" s="81">
        <v>504</v>
      </c>
      <c r="AB96" s="63"/>
      <c r="AC96" s="63"/>
      <c r="AD96" s="26">
        <f t="shared" si="14"/>
        <v>504</v>
      </c>
      <c r="AE96" s="132">
        <v>0.25</v>
      </c>
      <c r="AF96" s="26">
        <f t="shared" si="15"/>
        <v>126</v>
      </c>
      <c r="AG96" s="26"/>
      <c r="AH96" s="26"/>
      <c r="AI96" s="26">
        <f t="shared" si="16"/>
        <v>630</v>
      </c>
    </row>
    <row r="97" spans="1:35" ht="12.75">
      <c r="A97" s="26">
        <v>112</v>
      </c>
      <c r="B97" s="26" t="s">
        <v>396</v>
      </c>
      <c r="F97" s="26"/>
      <c r="G97" s="26" t="s">
        <v>398</v>
      </c>
      <c r="H97" s="26"/>
      <c r="I97" s="81"/>
      <c r="J97" s="81"/>
      <c r="K97" s="132"/>
      <c r="L97" s="26"/>
      <c r="M97" s="26"/>
      <c r="N97" s="26"/>
      <c r="O97" s="26"/>
      <c r="P97" s="63"/>
      <c r="Q97" s="63"/>
      <c r="R97" s="63"/>
      <c r="S97" s="63"/>
      <c r="T97" s="63"/>
      <c r="U97" s="63"/>
      <c r="V97" s="63"/>
      <c r="W97" s="63"/>
      <c r="X97" s="63"/>
      <c r="Y97" s="63"/>
      <c r="Z97" s="81">
        <v>4139000</v>
      </c>
      <c r="AA97" s="81">
        <v>504</v>
      </c>
      <c r="AB97" s="63"/>
      <c r="AC97" s="63"/>
      <c r="AD97" s="26">
        <f t="shared" si="14"/>
        <v>504</v>
      </c>
      <c r="AE97" s="132">
        <v>0.25</v>
      </c>
      <c r="AF97" s="26">
        <f t="shared" si="15"/>
        <v>126</v>
      </c>
      <c r="AG97" s="26"/>
      <c r="AH97" s="26"/>
      <c r="AI97" s="26">
        <f t="shared" si="16"/>
        <v>630</v>
      </c>
    </row>
    <row r="98" spans="1:35" ht="12.75">
      <c r="A98" s="26"/>
      <c r="B98" s="26"/>
      <c r="F98" s="26"/>
      <c r="G98" s="26"/>
      <c r="H98" s="26"/>
      <c r="I98" s="81"/>
      <c r="J98" s="81"/>
      <c r="K98" s="132"/>
      <c r="L98" s="26"/>
      <c r="M98" s="26"/>
      <c r="N98" s="26"/>
      <c r="O98" s="26"/>
      <c r="P98" s="63"/>
      <c r="Q98" s="63"/>
      <c r="R98" s="63"/>
      <c r="S98" s="63"/>
      <c r="T98" s="63"/>
      <c r="U98" s="63"/>
      <c r="V98" s="63"/>
      <c r="W98" s="63"/>
      <c r="X98" s="63"/>
      <c r="Y98" s="63"/>
      <c r="AA98" s="81"/>
      <c r="AB98" s="81"/>
      <c r="AC98" s="81"/>
      <c r="AD98" s="81"/>
      <c r="AE98" s="81"/>
      <c r="AF98" s="81"/>
      <c r="AG98" s="81"/>
      <c r="AH98" s="81"/>
      <c r="AI98" s="81"/>
    </row>
    <row r="99" spans="2:35" ht="12.75">
      <c r="B99" s="295" t="s">
        <v>506</v>
      </c>
      <c r="C99" s="298"/>
      <c r="D99" s="298"/>
      <c r="E99" s="298"/>
      <c r="F99" s="298"/>
      <c r="G99" s="299"/>
      <c r="H99" s="300"/>
      <c r="I99" s="300"/>
      <c r="J99" s="300"/>
      <c r="K99" s="300"/>
      <c r="L99" s="300"/>
      <c r="M99" s="300"/>
      <c r="N99" s="300"/>
      <c r="O99" s="300"/>
      <c r="P99" s="300"/>
      <c r="Q99" s="300"/>
      <c r="R99" s="300"/>
      <c r="S99" s="300"/>
      <c r="T99" s="300"/>
      <c r="U99" s="300"/>
      <c r="V99" s="300"/>
      <c r="W99" s="300"/>
      <c r="X99" s="300"/>
      <c r="Y99" s="300"/>
      <c r="Z99" s="300"/>
      <c r="AA99" s="294">
        <f>SUM(AA71:AA98)</f>
        <v>14023</v>
      </c>
      <c r="AB99" s="294">
        <f aca="true" t="shared" si="17" ref="AB99:AI99">SUM(AB71:AB98)</f>
        <v>348</v>
      </c>
      <c r="AC99" s="294">
        <f t="shared" si="17"/>
        <v>475.20000000000005</v>
      </c>
      <c r="AD99" s="294">
        <f t="shared" si="17"/>
        <v>14846.2</v>
      </c>
      <c r="AE99" s="294">
        <f t="shared" si="17"/>
        <v>6.25</v>
      </c>
      <c r="AF99" s="294">
        <f t="shared" si="17"/>
        <v>3475.0225000000005</v>
      </c>
      <c r="AG99" s="294">
        <f t="shared" si="17"/>
        <v>0.2</v>
      </c>
      <c r="AH99" s="294">
        <f t="shared" si="17"/>
        <v>100.80000000000001</v>
      </c>
      <c r="AI99" s="294">
        <f t="shared" si="17"/>
        <v>18422.0225</v>
      </c>
    </row>
    <row r="100" spans="1:35" s="104" customFormat="1" ht="12.75">
      <c r="A100" s="223"/>
      <c r="B100" s="223" t="s">
        <v>407</v>
      </c>
      <c r="C100" s="224"/>
      <c r="D100" s="224"/>
      <c r="E100" s="224"/>
      <c r="F100" s="223"/>
      <c r="G100" s="223"/>
      <c r="H100" s="223"/>
      <c r="I100" s="129"/>
      <c r="J100" s="129"/>
      <c r="K100" s="220"/>
      <c r="L100" s="223"/>
      <c r="M100" s="223"/>
      <c r="N100" s="223"/>
      <c r="O100" s="223"/>
      <c r="Z100" s="129">
        <f>SUM(Z13:Z97)</f>
        <v>354951000</v>
      </c>
      <c r="AA100" s="129">
        <f aca="true" t="shared" si="18" ref="AA100:AI100">SUM(AA51,AA99)</f>
        <v>44005</v>
      </c>
      <c r="AB100" s="129">
        <f t="shared" si="18"/>
        <v>1153.75</v>
      </c>
      <c r="AC100" s="129">
        <f t="shared" si="18"/>
        <v>1126.35</v>
      </c>
      <c r="AD100" s="129">
        <f t="shared" si="18"/>
        <v>44820.1</v>
      </c>
      <c r="AE100" s="129">
        <f t="shared" si="18"/>
        <v>10</v>
      </c>
      <c r="AF100" s="129">
        <f t="shared" si="18"/>
        <v>8422.37</v>
      </c>
      <c r="AG100" s="129">
        <f t="shared" si="18"/>
        <v>0.6000000000000001</v>
      </c>
      <c r="AH100" s="129">
        <f t="shared" si="18"/>
        <v>632.185</v>
      </c>
      <c r="AI100" s="129">
        <f t="shared" si="18"/>
        <v>53874.655</v>
      </c>
    </row>
    <row r="101" spans="1:35" s="104" customFormat="1" ht="12.75">
      <c r="A101" s="223"/>
      <c r="B101" s="223"/>
      <c r="C101" s="224"/>
      <c r="D101" s="224"/>
      <c r="E101" s="224"/>
      <c r="F101" s="223"/>
      <c r="G101" s="223"/>
      <c r="H101" s="223"/>
      <c r="I101" s="129"/>
      <c r="J101" s="129"/>
      <c r="K101" s="220"/>
      <c r="L101" s="223"/>
      <c r="M101" s="223"/>
      <c r="N101" s="223"/>
      <c r="O101" s="223"/>
      <c r="Z101" s="129"/>
      <c r="AA101" s="129"/>
      <c r="AB101" s="129"/>
      <c r="AC101" s="129"/>
      <c r="AD101" s="129"/>
      <c r="AE101" s="129"/>
      <c r="AF101" s="129"/>
      <c r="AG101" s="129"/>
      <c r="AH101" s="129"/>
      <c r="AI101" s="129"/>
    </row>
    <row r="102" spans="1:35" s="104" customFormat="1" ht="13.5" thickBot="1">
      <c r="A102" s="223"/>
      <c r="B102" s="223"/>
      <c r="C102" s="224"/>
      <c r="D102" s="224"/>
      <c r="E102" s="224"/>
      <c r="F102" s="223"/>
      <c r="G102" s="223"/>
      <c r="H102" s="223"/>
      <c r="I102" s="129"/>
      <c r="J102" s="129"/>
      <c r="K102" s="220"/>
      <c r="L102" s="223"/>
      <c r="M102" s="223"/>
      <c r="N102" s="223"/>
      <c r="O102" s="223"/>
      <c r="Z102" s="129"/>
      <c r="AA102" s="129"/>
      <c r="AB102" s="129"/>
      <c r="AC102" s="129"/>
      <c r="AD102" s="129"/>
      <c r="AE102" s="129"/>
      <c r="AF102" s="129"/>
      <c r="AG102" s="129"/>
      <c r="AH102" s="129"/>
      <c r="AI102" s="129"/>
    </row>
    <row r="103" spans="1:35" ht="12.75">
      <c r="A103" s="26"/>
      <c r="B103" s="26"/>
      <c r="D103" s="316"/>
      <c r="E103" s="317"/>
      <c r="F103" s="318"/>
      <c r="G103" s="319"/>
      <c r="H103" s="26"/>
      <c r="I103" s="81"/>
      <c r="J103" s="81"/>
      <c r="K103" s="132"/>
      <c r="L103" s="26"/>
      <c r="M103" s="26"/>
      <c r="N103" s="26"/>
      <c r="O103" s="26"/>
      <c r="P103" s="63"/>
      <c r="Q103" s="63"/>
      <c r="R103" s="63"/>
      <c r="S103" s="63"/>
      <c r="T103" s="63"/>
      <c r="U103" s="63"/>
      <c r="V103" s="63"/>
      <c r="W103" s="63"/>
      <c r="X103" s="63"/>
      <c r="Y103" s="63"/>
      <c r="Z103" s="81"/>
      <c r="AA103" s="81"/>
      <c r="AB103" s="63"/>
      <c r="AC103" s="63"/>
      <c r="AD103" s="26"/>
      <c r="AE103" s="132"/>
      <c r="AF103" s="26"/>
      <c r="AG103" s="26"/>
      <c r="AH103" s="26"/>
      <c r="AI103" s="26"/>
    </row>
    <row r="104" spans="1:35" ht="13.5" customHeight="1">
      <c r="A104" s="26"/>
      <c r="B104" s="26"/>
      <c r="D104" s="320"/>
      <c r="E104" s="14"/>
      <c r="F104" s="84" t="s">
        <v>377</v>
      </c>
      <c r="G104" s="321"/>
      <c r="H104" s="3"/>
      <c r="I104" s="81"/>
      <c r="J104" s="81"/>
      <c r="K104" s="132"/>
      <c r="L104" s="26"/>
      <c r="M104" s="26"/>
      <c r="N104" s="26"/>
      <c r="O104" s="26"/>
      <c r="P104" s="63"/>
      <c r="Q104" s="63"/>
      <c r="R104" s="63"/>
      <c r="S104" s="63"/>
      <c r="T104" s="63"/>
      <c r="U104" s="63"/>
      <c r="V104" s="63"/>
      <c r="W104" s="63"/>
      <c r="X104" s="63"/>
      <c r="Y104" s="63"/>
      <c r="Z104" s="81"/>
      <c r="AA104" s="81"/>
      <c r="AB104" s="63"/>
      <c r="AC104" s="63"/>
      <c r="AD104" s="26"/>
      <c r="AE104" s="132"/>
      <c r="AF104" s="26"/>
      <c r="AG104" s="26"/>
      <c r="AH104" s="26"/>
      <c r="AI104" s="26"/>
    </row>
    <row r="105" spans="1:35" ht="12.75">
      <c r="A105" s="26"/>
      <c r="B105" s="26"/>
      <c r="D105" s="320"/>
      <c r="E105" s="14"/>
      <c r="F105" s="75" t="s">
        <v>375</v>
      </c>
      <c r="G105" s="321"/>
      <c r="H105" s="3"/>
      <c r="I105" s="81"/>
      <c r="J105" s="81"/>
      <c r="K105" s="132"/>
      <c r="L105" s="26"/>
      <c r="M105" s="26"/>
      <c r="N105" s="26"/>
      <c r="O105" s="26"/>
      <c r="P105" s="63"/>
      <c r="Q105" s="63"/>
      <c r="R105" s="63"/>
      <c r="S105" s="63"/>
      <c r="T105" s="63"/>
      <c r="U105" s="63"/>
      <c r="V105" s="63"/>
      <c r="W105" s="63"/>
      <c r="X105" s="63"/>
      <c r="Y105" s="63"/>
      <c r="Z105" s="81"/>
      <c r="AA105" s="81"/>
      <c r="AB105" s="63"/>
      <c r="AC105" s="63"/>
      <c r="AD105" s="26"/>
      <c r="AE105" s="132"/>
      <c r="AF105" s="26"/>
      <c r="AG105" s="26"/>
      <c r="AH105" s="26"/>
      <c r="AI105" s="26"/>
    </row>
    <row r="106" spans="1:39" ht="12.75">
      <c r="A106" s="26"/>
      <c r="B106" s="26"/>
      <c r="C106" s="66"/>
      <c r="D106" s="320"/>
      <c r="E106" s="14"/>
      <c r="F106" s="84" t="s">
        <v>166</v>
      </c>
      <c r="G106" s="321"/>
      <c r="H106" s="3"/>
      <c r="I106" s="81"/>
      <c r="J106" s="81"/>
      <c r="K106" s="81"/>
      <c r="L106" s="81"/>
      <c r="M106" s="81"/>
      <c r="N106" s="81"/>
      <c r="O106" s="81"/>
      <c r="P106" s="81"/>
      <c r="Q106" s="81"/>
      <c r="R106" s="81"/>
      <c r="S106" s="81"/>
      <c r="T106" s="81"/>
      <c r="U106" s="81"/>
      <c r="V106" s="81"/>
      <c r="W106" s="81"/>
      <c r="X106" s="81"/>
      <c r="Y106" s="81"/>
      <c r="Z106" s="81"/>
      <c r="AA106" s="81"/>
      <c r="AB106" s="66"/>
      <c r="AC106" s="66"/>
      <c r="AD106" s="26"/>
      <c r="AE106" s="26"/>
      <c r="AF106" s="26"/>
      <c r="AG106" s="26"/>
      <c r="AH106" s="26"/>
      <c r="AI106" s="26"/>
      <c r="AJ106" s="26"/>
      <c r="AK106" s="26"/>
      <c r="AL106" s="26"/>
      <c r="AM106" s="26"/>
    </row>
    <row r="107" spans="4:8" ht="12.75">
      <c r="D107" s="320"/>
      <c r="E107" s="14"/>
      <c r="F107" s="84" t="s">
        <v>320</v>
      </c>
      <c r="G107" s="321"/>
      <c r="H107" s="3"/>
    </row>
    <row r="108" spans="4:8" ht="12.75">
      <c r="D108" s="320"/>
      <c r="E108" s="14"/>
      <c r="F108" s="84" t="s">
        <v>378</v>
      </c>
      <c r="G108" s="321"/>
      <c r="H108" s="3"/>
    </row>
    <row r="109" spans="4:8" ht="12.75">
      <c r="D109" s="320"/>
      <c r="E109" s="14"/>
      <c r="F109" s="84" t="s">
        <v>379</v>
      </c>
      <c r="G109" s="321"/>
      <c r="H109" s="3"/>
    </row>
    <row r="110" spans="4:8" ht="12.75">
      <c r="D110" s="320"/>
      <c r="E110" s="84" t="s">
        <v>420</v>
      </c>
      <c r="F110" s="84"/>
      <c r="G110" s="322">
        <f>AI100</f>
        <v>53874.655</v>
      </c>
      <c r="H110" s="3"/>
    </row>
    <row r="111" spans="4:8" ht="12.75">
      <c r="D111" s="320"/>
      <c r="E111" s="14"/>
      <c r="F111" s="323"/>
      <c r="G111" s="30" t="s">
        <v>530</v>
      </c>
      <c r="H111" s="3"/>
    </row>
    <row r="112" spans="4:8" ht="12.75">
      <c r="D112" s="320"/>
      <c r="E112" s="14"/>
      <c r="F112" s="323"/>
      <c r="G112" s="30"/>
      <c r="H112" s="3"/>
    </row>
    <row r="113" spans="4:8" ht="12.75">
      <c r="D113" s="320"/>
      <c r="E113" s="14"/>
      <c r="F113" s="84" t="s">
        <v>227</v>
      </c>
      <c r="G113" s="30"/>
      <c r="H113" s="5"/>
    </row>
    <row r="114" spans="4:8" ht="12.75">
      <c r="D114" s="306" t="s">
        <v>421</v>
      </c>
      <c r="E114" s="91"/>
      <c r="F114" s="91"/>
      <c r="G114" s="30"/>
      <c r="H114" s="5"/>
    </row>
    <row r="115" spans="4:8" ht="13.5" thickBot="1">
      <c r="D115" s="103"/>
      <c r="E115" s="17"/>
      <c r="F115" s="17"/>
      <c r="G115" s="31"/>
      <c r="H115" s="3"/>
    </row>
  </sheetData>
  <mergeCells count="7">
    <mergeCell ref="B26:G26"/>
    <mergeCell ref="AG9:AH9"/>
    <mergeCell ref="AE1:AF1"/>
    <mergeCell ref="AE2:AF2"/>
    <mergeCell ref="AE3:AF3"/>
    <mergeCell ref="AE9:AF9"/>
    <mergeCell ref="B9:F9"/>
  </mergeCells>
  <printOptions/>
  <pageMargins left="0.984251968503937" right="0.1968503937007874" top="0.1968503937007874" bottom="0.1968503937007874" header="0.5118110236220472" footer="0.5118110236220472"/>
  <pageSetup horizontalDpi="300" verticalDpi="300" orientation="landscape" paperSize="8" scale="95" r:id="rId1"/>
</worksheet>
</file>

<file path=xl/worksheets/sheet6.xml><?xml version="1.0" encoding="utf-8"?>
<worksheet xmlns="http://schemas.openxmlformats.org/spreadsheetml/2006/main" xmlns:r="http://schemas.openxmlformats.org/officeDocument/2006/relationships">
  <sheetPr codeName="Sheet4"/>
  <dimension ref="A1:AM48"/>
  <sheetViews>
    <sheetView zoomScaleSheetLayoutView="100" workbookViewId="0" topLeftCell="A4">
      <selection activeCell="G27" sqref="G27"/>
    </sheetView>
  </sheetViews>
  <sheetFormatPr defaultColWidth="9.140625" defaultRowHeight="12.75"/>
  <cols>
    <col min="1" max="1" width="5.421875" style="0" customWidth="1"/>
    <col min="2" max="2" width="19.57421875" style="23" customWidth="1"/>
    <col min="3" max="3" width="5.28125" style="22" bestFit="1" customWidth="1"/>
    <col min="4" max="4" width="14.140625" style="22" customWidth="1"/>
    <col min="5" max="5" width="6.57421875" style="22" bestFit="1" customWidth="1"/>
    <col min="6" max="6" width="12.7109375" style="0" customWidth="1"/>
    <col min="7" max="7" width="20.00390625" style="0" customWidth="1"/>
    <col min="8" max="9" width="12.57421875" style="0" hidden="1" customWidth="1"/>
    <col min="10" max="10" width="12.57421875" style="63" hidden="1" customWidth="1"/>
    <col min="11" max="12" width="0.13671875" style="63" hidden="1" customWidth="1"/>
    <col min="13" max="15" width="12.57421875" style="63" hidden="1" customWidth="1"/>
    <col min="16" max="16" width="11.7109375" style="63" hidden="1" customWidth="1"/>
    <col min="17" max="17" width="0.13671875" style="63" hidden="1" customWidth="1"/>
    <col min="18" max="18" width="11.8515625" style="63" hidden="1" customWidth="1"/>
    <col min="19" max="20" width="20.7109375" style="63" hidden="1" customWidth="1"/>
    <col min="21" max="21" width="11.421875" style="63" hidden="1" customWidth="1"/>
    <col min="22" max="26" width="12.421875" style="63" hidden="1" customWidth="1"/>
    <col min="27" max="27" width="10.00390625" style="63" customWidth="1"/>
    <col min="28" max="28" width="9.8515625" style="0" customWidth="1"/>
    <col min="29" max="29" width="7.28125" style="0" customWidth="1"/>
    <col min="30" max="30" width="8.8515625" style="0" customWidth="1"/>
    <col min="31" max="32" width="8.28125" style="0" customWidth="1"/>
    <col min="33" max="33" width="10.140625" style="0" customWidth="1"/>
  </cols>
  <sheetData>
    <row r="1" spans="1:39" ht="12.75">
      <c r="A1" s="4" t="s">
        <v>0</v>
      </c>
      <c r="B1" s="177"/>
      <c r="C1" s="21"/>
      <c r="D1" s="21"/>
      <c r="E1" s="21"/>
      <c r="F1" s="4"/>
      <c r="G1" s="3"/>
      <c r="H1" s="3"/>
      <c r="I1" s="3"/>
      <c r="J1" s="26"/>
      <c r="K1" s="26"/>
      <c r="L1" s="26"/>
      <c r="M1" s="26"/>
      <c r="N1" s="26"/>
      <c r="O1" s="26"/>
      <c r="P1" s="26"/>
      <c r="Q1" s="26"/>
      <c r="R1" s="26"/>
      <c r="S1" s="26"/>
      <c r="T1" s="26"/>
      <c r="U1" s="26"/>
      <c r="V1" s="26"/>
      <c r="W1" s="26"/>
      <c r="X1" s="26"/>
      <c r="Y1" s="26"/>
      <c r="Z1" s="26"/>
      <c r="AA1" s="26"/>
      <c r="AB1" s="3"/>
      <c r="AC1" s="3"/>
      <c r="AD1" s="3"/>
      <c r="AE1" s="438" t="s">
        <v>2</v>
      </c>
      <c r="AF1" s="438"/>
      <c r="AG1" s="3"/>
      <c r="AI1" s="3"/>
      <c r="AJ1" s="3"/>
      <c r="AK1" s="3"/>
      <c r="AL1" s="3"/>
      <c r="AM1" s="3"/>
    </row>
    <row r="2" spans="1:39" ht="12.75">
      <c r="A2" s="3" t="s">
        <v>380</v>
      </c>
      <c r="B2" s="83"/>
      <c r="C2" s="5"/>
      <c r="D2" s="5"/>
      <c r="E2" s="5"/>
      <c r="F2" s="3"/>
      <c r="G2" s="3"/>
      <c r="H2" s="3"/>
      <c r="I2" s="3"/>
      <c r="J2" s="26"/>
      <c r="K2" s="26"/>
      <c r="L2" s="26"/>
      <c r="M2" s="26"/>
      <c r="N2" s="26"/>
      <c r="O2" s="26"/>
      <c r="P2" s="26"/>
      <c r="Q2" s="26"/>
      <c r="R2" s="26"/>
      <c r="S2" s="26"/>
      <c r="T2" s="26"/>
      <c r="U2" s="26"/>
      <c r="V2" s="26"/>
      <c r="W2" s="26"/>
      <c r="X2" s="26"/>
      <c r="Y2" s="26"/>
      <c r="Z2" s="26"/>
      <c r="AA2" s="26"/>
      <c r="AB2" s="3"/>
      <c r="AC2" s="3"/>
      <c r="AD2" s="3"/>
      <c r="AE2" s="438" t="s">
        <v>437</v>
      </c>
      <c r="AF2" s="438"/>
      <c r="AG2" s="3"/>
      <c r="AI2" s="3"/>
      <c r="AJ2" s="3"/>
      <c r="AK2" s="3"/>
      <c r="AL2" s="3"/>
      <c r="AM2" s="3"/>
    </row>
    <row r="3" spans="1:39" ht="12.75">
      <c r="A3" s="3"/>
      <c r="B3" s="83"/>
      <c r="C3" s="5"/>
      <c r="D3" s="5"/>
      <c r="E3" s="5"/>
      <c r="F3" s="3"/>
      <c r="G3" s="3"/>
      <c r="H3" s="3"/>
      <c r="I3" s="3"/>
      <c r="J3" s="26"/>
      <c r="K3" s="26"/>
      <c r="L3" s="26"/>
      <c r="M3" s="26"/>
      <c r="N3" s="26"/>
      <c r="O3" s="26"/>
      <c r="P3" s="26"/>
      <c r="Q3" s="26"/>
      <c r="R3" s="26"/>
      <c r="S3" s="26"/>
      <c r="T3" s="26"/>
      <c r="U3" s="26"/>
      <c r="V3" s="26"/>
      <c r="W3" s="26"/>
      <c r="X3" s="26"/>
      <c r="Y3" s="26"/>
      <c r="Z3" s="26"/>
      <c r="AA3" s="26"/>
      <c r="AB3" s="3"/>
      <c r="AC3" s="3"/>
      <c r="AD3" s="3"/>
      <c r="AE3" s="138" t="s">
        <v>482</v>
      </c>
      <c r="AF3" s="139"/>
      <c r="AG3" s="3"/>
      <c r="AI3" s="3"/>
      <c r="AJ3" s="3"/>
      <c r="AK3" s="3"/>
      <c r="AL3" s="3"/>
      <c r="AM3" s="3"/>
    </row>
    <row r="4" spans="1:39" ht="12.75">
      <c r="A4" s="3"/>
      <c r="B4" s="83"/>
      <c r="C4" s="5"/>
      <c r="D4" s="5"/>
      <c r="E4" s="5"/>
      <c r="F4" s="3"/>
      <c r="G4" s="3"/>
      <c r="H4" s="3"/>
      <c r="I4" s="3"/>
      <c r="J4" s="26"/>
      <c r="K4" s="26"/>
      <c r="L4" s="26"/>
      <c r="M4" s="26"/>
      <c r="N4" s="26"/>
      <c r="O4" s="26"/>
      <c r="P4" s="26"/>
      <c r="Q4" s="26"/>
      <c r="R4" s="26"/>
      <c r="S4" s="26"/>
      <c r="T4" s="26"/>
      <c r="U4" s="26"/>
      <c r="V4" s="26"/>
      <c r="W4" s="26"/>
      <c r="X4" s="26"/>
      <c r="Y4" s="26"/>
      <c r="Z4" s="26"/>
      <c r="AA4" s="26"/>
      <c r="AB4" s="3"/>
      <c r="AC4" s="3"/>
      <c r="AD4" s="3"/>
      <c r="AE4" s="5"/>
      <c r="AF4" s="5"/>
      <c r="AG4" s="3"/>
      <c r="AI4" s="3"/>
      <c r="AJ4" s="3"/>
      <c r="AK4" s="3"/>
      <c r="AL4" s="3"/>
      <c r="AM4" s="3"/>
    </row>
    <row r="5" spans="1:39" ht="12.75">
      <c r="A5" s="3"/>
      <c r="B5" s="83"/>
      <c r="C5" s="5"/>
      <c r="D5" s="5"/>
      <c r="E5" s="5"/>
      <c r="F5" s="3"/>
      <c r="G5" s="3"/>
      <c r="H5" s="3"/>
      <c r="I5" s="3"/>
      <c r="J5" s="26"/>
      <c r="K5" s="26"/>
      <c r="L5" s="26"/>
      <c r="M5" s="26"/>
      <c r="N5" s="26"/>
      <c r="O5" s="26"/>
      <c r="P5" s="26"/>
      <c r="Q5" s="26"/>
      <c r="R5" s="26"/>
      <c r="S5" s="26"/>
      <c r="T5" s="26"/>
      <c r="U5" s="26"/>
      <c r="V5" s="26"/>
      <c r="W5" s="26"/>
      <c r="X5" s="26"/>
      <c r="Y5" s="26"/>
      <c r="Z5" s="26"/>
      <c r="AA5" s="26"/>
      <c r="AB5" s="3"/>
      <c r="AC5" s="3"/>
      <c r="AD5" s="3"/>
      <c r="AE5" s="5"/>
      <c r="AF5" s="5"/>
      <c r="AG5" s="3"/>
      <c r="AI5" s="3"/>
      <c r="AJ5" s="3"/>
      <c r="AK5" s="3"/>
      <c r="AL5" s="3"/>
      <c r="AM5" s="3"/>
    </row>
    <row r="6" spans="1:39" ht="12.75">
      <c r="A6" s="3"/>
      <c r="B6" s="83"/>
      <c r="C6" s="5"/>
      <c r="D6" s="5"/>
      <c r="E6" s="5"/>
      <c r="F6" s="3"/>
      <c r="G6" s="3"/>
      <c r="H6" s="3"/>
      <c r="I6" s="3"/>
      <c r="J6" s="26"/>
      <c r="K6" s="26"/>
      <c r="L6" s="26"/>
      <c r="M6" s="26"/>
      <c r="N6" s="26"/>
      <c r="O6" s="26"/>
      <c r="P6" s="26"/>
      <c r="Q6" s="26"/>
      <c r="R6" s="26"/>
      <c r="S6" s="26"/>
      <c r="T6" s="26"/>
      <c r="U6" s="26"/>
      <c r="V6" s="26"/>
      <c r="W6" s="26"/>
      <c r="X6" s="26"/>
      <c r="Y6" s="26"/>
      <c r="Z6" s="26"/>
      <c r="AA6" s="26"/>
      <c r="AB6" s="3"/>
      <c r="AC6" s="3"/>
      <c r="AD6" s="3"/>
      <c r="AE6" s="3"/>
      <c r="AF6" s="3"/>
      <c r="AG6" s="3"/>
      <c r="AH6" s="3"/>
      <c r="AI6" s="3"/>
      <c r="AJ6" s="3"/>
      <c r="AK6" s="3"/>
      <c r="AL6" s="3"/>
      <c r="AM6" s="3"/>
    </row>
    <row r="7" spans="2:39" ht="12.75">
      <c r="B7" s="177"/>
      <c r="C7" s="21"/>
      <c r="D7" s="21"/>
      <c r="E7" s="21"/>
      <c r="F7" s="92"/>
      <c r="G7" s="92" t="s">
        <v>1</v>
      </c>
      <c r="H7" s="92"/>
      <c r="I7" s="92"/>
      <c r="J7" s="92"/>
      <c r="K7" s="92"/>
      <c r="L7" s="92"/>
      <c r="M7" s="92"/>
      <c r="N7" s="92"/>
      <c r="O7" s="92"/>
      <c r="P7" s="92"/>
      <c r="Q7" s="92"/>
      <c r="R7" s="92"/>
      <c r="S7" s="92"/>
      <c r="T7" s="92"/>
      <c r="U7" s="92"/>
      <c r="V7" s="92"/>
      <c r="W7" s="92"/>
      <c r="X7" s="92"/>
      <c r="Y7" s="92"/>
      <c r="Z7" s="92"/>
      <c r="AA7" s="92"/>
      <c r="AB7" s="92"/>
      <c r="AC7" s="92"/>
      <c r="AD7" s="92"/>
      <c r="AE7" s="92"/>
      <c r="AF7" s="92"/>
      <c r="AG7" s="92"/>
      <c r="AH7" s="3"/>
      <c r="AI7" s="3"/>
      <c r="AJ7" s="3"/>
      <c r="AK7" s="3"/>
      <c r="AL7" s="3"/>
      <c r="AM7" s="3"/>
    </row>
    <row r="8" spans="1:37" ht="13.5" thickBot="1">
      <c r="A8" s="3"/>
      <c r="B8" s="83"/>
      <c r="C8" s="5"/>
      <c r="D8" s="5"/>
      <c r="E8" s="5"/>
      <c r="F8" s="3"/>
      <c r="G8" s="3"/>
      <c r="H8" s="3"/>
      <c r="I8" s="3"/>
      <c r="J8" s="26"/>
      <c r="K8" s="26"/>
      <c r="L8" s="26"/>
      <c r="M8" s="26"/>
      <c r="N8" s="26"/>
      <c r="O8" s="26"/>
      <c r="P8" s="26"/>
      <c r="Q8" s="26"/>
      <c r="R8" s="26"/>
      <c r="S8" s="26"/>
      <c r="T8" s="26"/>
      <c r="U8" s="26"/>
      <c r="V8" s="26"/>
      <c r="W8" s="26"/>
      <c r="X8" s="26"/>
      <c r="Y8" s="26"/>
      <c r="Z8" s="26"/>
      <c r="AA8" s="26"/>
      <c r="AB8" s="26" t="s">
        <v>493</v>
      </c>
      <c r="AC8" s="3"/>
      <c r="AD8" s="3"/>
      <c r="AE8" s="3"/>
      <c r="AF8" s="3"/>
      <c r="AI8" s="3"/>
      <c r="AJ8" s="3"/>
      <c r="AK8" s="3"/>
    </row>
    <row r="9" spans="1:37" s="2" customFormat="1" ht="13.5" thickBot="1">
      <c r="A9" s="28" t="s">
        <v>141</v>
      </c>
      <c r="B9" s="439" t="s">
        <v>5</v>
      </c>
      <c r="C9" s="440"/>
      <c r="D9" s="440"/>
      <c r="E9" s="440"/>
      <c r="F9" s="441"/>
      <c r="G9" s="8" t="s">
        <v>8</v>
      </c>
      <c r="H9" s="7" t="s">
        <v>17</v>
      </c>
      <c r="I9" s="7" t="s">
        <v>17</v>
      </c>
      <c r="J9" s="72" t="s">
        <v>17</v>
      </c>
      <c r="K9" s="72" t="s">
        <v>17</v>
      </c>
      <c r="L9" s="72"/>
      <c r="M9" s="72" t="s">
        <v>17</v>
      </c>
      <c r="N9" s="72" t="s">
        <v>169</v>
      </c>
      <c r="O9" s="72" t="s">
        <v>180</v>
      </c>
      <c r="P9" s="72" t="s">
        <v>178</v>
      </c>
      <c r="Q9" s="72" t="s">
        <v>178</v>
      </c>
      <c r="R9" s="134" t="s">
        <v>178</v>
      </c>
      <c r="S9" s="99" t="s">
        <v>279</v>
      </c>
      <c r="T9" s="97" t="s">
        <v>276</v>
      </c>
      <c r="U9" s="88" t="s">
        <v>167</v>
      </c>
      <c r="V9" s="135" t="s">
        <v>178</v>
      </c>
      <c r="W9" s="88" t="s">
        <v>169</v>
      </c>
      <c r="X9" s="88" t="s">
        <v>318</v>
      </c>
      <c r="Y9" s="88" t="s">
        <v>167</v>
      </c>
      <c r="Z9" s="8" t="s">
        <v>167</v>
      </c>
      <c r="AA9" s="8" t="s">
        <v>167</v>
      </c>
      <c r="AB9" s="6" t="s">
        <v>18</v>
      </c>
      <c r="AC9" s="6" t="s">
        <v>21</v>
      </c>
      <c r="AD9" s="27" t="s">
        <v>22</v>
      </c>
      <c r="AE9" s="439" t="s">
        <v>24</v>
      </c>
      <c r="AF9" s="440"/>
      <c r="AG9" s="109" t="s">
        <v>22</v>
      </c>
      <c r="AH9" s="14"/>
      <c r="AI9" s="14"/>
      <c r="AJ9" s="14"/>
      <c r="AK9" s="14"/>
    </row>
    <row r="10" spans="1:37" s="2" customFormat="1" ht="13.5" thickBot="1">
      <c r="A10" s="9" t="s">
        <v>142</v>
      </c>
      <c r="B10" s="6" t="s">
        <v>6</v>
      </c>
      <c r="C10" s="6"/>
      <c r="D10" s="6"/>
      <c r="E10" s="6"/>
      <c r="F10" s="6" t="s">
        <v>7</v>
      </c>
      <c r="G10" s="12"/>
      <c r="H10" s="11"/>
      <c r="I10" s="11"/>
      <c r="J10" s="73"/>
      <c r="K10" s="73"/>
      <c r="L10" s="73" t="s">
        <v>179</v>
      </c>
      <c r="M10" s="73" t="s">
        <v>174</v>
      </c>
      <c r="N10" s="73"/>
      <c r="O10" s="73" t="s">
        <v>168</v>
      </c>
      <c r="P10" s="73" t="s">
        <v>181</v>
      </c>
      <c r="Q10" s="73"/>
      <c r="R10" s="73" t="s">
        <v>229</v>
      </c>
      <c r="S10" s="137" t="s">
        <v>280</v>
      </c>
      <c r="T10" s="13" t="s">
        <v>277</v>
      </c>
      <c r="U10" s="13" t="s">
        <v>170</v>
      </c>
      <c r="V10" s="136" t="s">
        <v>251</v>
      </c>
      <c r="W10" s="13" t="s">
        <v>316</v>
      </c>
      <c r="X10" s="13" t="s">
        <v>168</v>
      </c>
      <c r="Y10" s="13" t="s">
        <v>168</v>
      </c>
      <c r="Z10" s="13" t="s">
        <v>168</v>
      </c>
      <c r="AA10" s="13"/>
      <c r="AB10" s="10" t="s">
        <v>19</v>
      </c>
      <c r="AC10" s="10" t="s">
        <v>20</v>
      </c>
      <c r="AD10" s="10" t="s">
        <v>23</v>
      </c>
      <c r="AE10" s="7" t="s">
        <v>25</v>
      </c>
      <c r="AF10" s="27" t="s">
        <v>26</v>
      </c>
      <c r="AG10" s="110" t="s">
        <v>27</v>
      </c>
      <c r="AH10" s="14"/>
      <c r="AI10" s="14"/>
      <c r="AJ10" s="14"/>
      <c r="AK10" s="14"/>
    </row>
    <row r="11" spans="1:37" s="2" customFormat="1" ht="13.5" thickBot="1">
      <c r="A11" s="15"/>
      <c r="B11" s="178"/>
      <c r="C11" s="18" t="s">
        <v>335</v>
      </c>
      <c r="D11" s="18" t="s">
        <v>336</v>
      </c>
      <c r="E11" s="18" t="s">
        <v>364</v>
      </c>
      <c r="F11" s="16"/>
      <c r="G11" s="19"/>
      <c r="H11" s="16"/>
      <c r="I11" s="16"/>
      <c r="J11" s="74"/>
      <c r="K11" s="74"/>
      <c r="L11" s="74" t="s">
        <v>172</v>
      </c>
      <c r="M11" s="74" t="s">
        <v>175</v>
      </c>
      <c r="N11" s="74"/>
      <c r="O11" s="74" t="s">
        <v>172</v>
      </c>
      <c r="P11" s="74" t="s">
        <v>172</v>
      </c>
      <c r="Q11" s="74"/>
      <c r="R11" s="74" t="s">
        <v>230</v>
      </c>
      <c r="S11" s="74"/>
      <c r="T11" s="128" t="s">
        <v>281</v>
      </c>
      <c r="U11" s="128">
        <v>2005</v>
      </c>
      <c r="V11" s="130">
        <v>2004</v>
      </c>
      <c r="W11" s="128" t="s">
        <v>317</v>
      </c>
      <c r="X11" s="128"/>
      <c r="Y11" s="128">
        <v>2005</v>
      </c>
      <c r="Z11" s="128">
        <v>2005</v>
      </c>
      <c r="AA11" s="128"/>
      <c r="AB11" s="16"/>
      <c r="AC11" s="50">
        <v>0.15</v>
      </c>
      <c r="AD11" s="16"/>
      <c r="AE11" s="16"/>
      <c r="AF11" s="87"/>
      <c r="AG11" s="98"/>
      <c r="AH11" s="14"/>
      <c r="AI11" s="14"/>
      <c r="AJ11" s="14"/>
      <c r="AK11" s="14"/>
    </row>
    <row r="12" spans="1:37" ht="12.75">
      <c r="A12" s="3">
        <v>113</v>
      </c>
      <c r="B12" s="138" t="s">
        <v>338</v>
      </c>
      <c r="C12" s="66" t="s">
        <v>339</v>
      </c>
      <c r="D12" s="66" t="s">
        <v>340</v>
      </c>
      <c r="E12" s="66">
        <v>1</v>
      </c>
      <c r="F12" s="3" t="s">
        <v>145</v>
      </c>
      <c r="G12" s="138" t="s">
        <v>479</v>
      </c>
      <c r="H12" s="3">
        <v>4023000</v>
      </c>
      <c r="I12" s="66">
        <f>H12*1.0829</f>
        <v>4356506.7</v>
      </c>
      <c r="J12" s="66">
        <f>CEILING(I12*1.03,1000)</f>
        <v>4488000</v>
      </c>
      <c r="K12" s="66">
        <v>4993000</v>
      </c>
      <c r="L12" s="66">
        <v>8200000</v>
      </c>
      <c r="M12" s="66">
        <f>CEILING(K12*1.12,1000)</f>
        <v>5593000</v>
      </c>
      <c r="N12" s="81">
        <f>L12-M12</f>
        <v>2607000</v>
      </c>
      <c r="O12" s="3">
        <f>N12*0.38</f>
        <v>990660</v>
      </c>
      <c r="P12" s="3">
        <f>M12+O12</f>
        <v>6583660</v>
      </c>
      <c r="Q12" s="3">
        <v>8200000</v>
      </c>
      <c r="R12" s="81">
        <f>CEILING(Q12*1.06,1000)</f>
        <v>8692000</v>
      </c>
      <c r="S12" s="81" t="s">
        <v>267</v>
      </c>
      <c r="T12" s="81" t="s">
        <v>297</v>
      </c>
      <c r="U12" s="81">
        <v>13158000</v>
      </c>
      <c r="V12" s="81">
        <v>11057000</v>
      </c>
      <c r="W12" s="81">
        <f>U12-V12</f>
        <v>2101000</v>
      </c>
      <c r="X12" s="81">
        <f>W12*45%</f>
        <v>945450</v>
      </c>
      <c r="Y12" s="81">
        <f>SUM(V12,X12)</f>
        <v>12002450</v>
      </c>
      <c r="Z12" s="81">
        <f>ROUNDUP(Y12,-3)</f>
        <v>12003000</v>
      </c>
      <c r="AA12" s="81">
        <v>1465</v>
      </c>
      <c r="AB12" s="81">
        <f>AA12*55%</f>
        <v>805.7500000000001</v>
      </c>
      <c r="AC12" s="81"/>
      <c r="AD12" s="54">
        <f>SUM(AA12,AB12:AC12)</f>
        <v>2270.75</v>
      </c>
      <c r="AE12" s="20">
        <v>0.25</v>
      </c>
      <c r="AF12" s="3">
        <f>AD12*AE12</f>
        <v>567.6875</v>
      </c>
      <c r="AG12" s="3">
        <f>SUM(AD12,AF12)</f>
        <v>2838.4375</v>
      </c>
      <c r="AH12" s="3"/>
      <c r="AI12" s="3"/>
      <c r="AJ12" s="3"/>
      <c r="AK12" s="3"/>
    </row>
    <row r="13" spans="27:30" ht="12.75">
      <c r="AA13" s="81"/>
      <c r="AB13" s="63"/>
      <c r="AC13" s="63"/>
      <c r="AD13" s="54"/>
    </row>
    <row r="14" spans="1:37" ht="12.75">
      <c r="A14" s="3"/>
      <c r="B14" s="445" t="s">
        <v>143</v>
      </c>
      <c r="C14" s="445"/>
      <c r="D14" s="445"/>
      <c r="E14" s="445"/>
      <c r="F14" s="445"/>
      <c r="G14" s="445"/>
      <c r="H14" s="3"/>
      <c r="I14" s="3"/>
      <c r="J14" s="26"/>
      <c r="K14" s="26"/>
      <c r="L14" s="26"/>
      <c r="M14" s="66"/>
      <c r="N14" s="81"/>
      <c r="O14" s="3"/>
      <c r="P14" s="3"/>
      <c r="Q14" s="3"/>
      <c r="R14" s="3"/>
      <c r="S14" s="3"/>
      <c r="T14" s="3"/>
      <c r="U14" s="3"/>
      <c r="V14" s="3"/>
      <c r="W14" s="81">
        <f aca="true" t="shared" si="0" ref="W14:W29">U14-V14</f>
        <v>0</v>
      </c>
      <c r="X14" s="81">
        <f aca="true" t="shared" si="1" ref="X14:X29">W14*45%</f>
        <v>0</v>
      </c>
      <c r="Y14" s="81"/>
      <c r="Z14" s="81"/>
      <c r="AA14" s="81"/>
      <c r="AB14" s="26"/>
      <c r="AC14" s="26"/>
      <c r="AD14" s="54"/>
      <c r="AE14" s="3"/>
      <c r="AF14" s="3"/>
      <c r="AG14" s="3"/>
      <c r="AH14" s="3"/>
      <c r="AI14" s="3"/>
      <c r="AJ14" s="3"/>
      <c r="AK14" s="3"/>
    </row>
    <row r="15" spans="1:37" ht="12.75">
      <c r="A15" s="3">
        <v>114</v>
      </c>
      <c r="B15" s="138" t="s">
        <v>338</v>
      </c>
      <c r="C15" s="66" t="s">
        <v>339</v>
      </c>
      <c r="D15" s="66" t="s">
        <v>340</v>
      </c>
      <c r="E15" s="66">
        <v>1</v>
      </c>
      <c r="F15" s="3" t="s">
        <v>33</v>
      </c>
      <c r="G15" s="3" t="s">
        <v>92</v>
      </c>
      <c r="H15" s="3">
        <v>4023000</v>
      </c>
      <c r="I15" s="66">
        <f aca="true" t="shared" si="2" ref="I15:I21">H15*1.0829</f>
        <v>4356506.7</v>
      </c>
      <c r="J15" s="66">
        <f aca="true" t="shared" si="3" ref="J15:J21">CEILING(I15*1.03,1000)</f>
        <v>4488000</v>
      </c>
      <c r="K15" s="66">
        <v>4993000</v>
      </c>
      <c r="L15" s="66">
        <v>8200000</v>
      </c>
      <c r="M15" s="66">
        <f aca="true" t="shared" si="4" ref="M15:M21">CEILING(K15*1.12,1000)</f>
        <v>5593000</v>
      </c>
      <c r="N15" s="81">
        <f aca="true" t="shared" si="5" ref="N15:N21">L15-M15</f>
        <v>2607000</v>
      </c>
      <c r="O15" s="3">
        <f aca="true" t="shared" si="6" ref="O15:O21">N15*0.38</f>
        <v>990660</v>
      </c>
      <c r="P15" s="3">
        <f aca="true" t="shared" si="7" ref="P15:P21">M15+O15</f>
        <v>6583660</v>
      </c>
      <c r="Q15" s="3">
        <v>8200000</v>
      </c>
      <c r="R15" s="81">
        <f>CEILING(Q15*1.06,1000)</f>
        <v>8692000</v>
      </c>
      <c r="S15" s="81" t="s">
        <v>267</v>
      </c>
      <c r="T15" s="81" t="s">
        <v>297</v>
      </c>
      <c r="U15" s="81">
        <v>13158000</v>
      </c>
      <c r="V15" s="81">
        <v>11057000</v>
      </c>
      <c r="W15" s="81">
        <f t="shared" si="0"/>
        <v>2101000</v>
      </c>
      <c r="X15" s="81">
        <f t="shared" si="1"/>
        <v>945450</v>
      </c>
      <c r="Y15" s="81">
        <f aca="true" t="shared" si="8" ref="Y15:Y29">SUM(V15,X15)</f>
        <v>12002450</v>
      </c>
      <c r="Z15" s="81">
        <f>ROUNDUP(Y15,-3)</f>
        <v>12003000</v>
      </c>
      <c r="AA15" s="81">
        <v>1465</v>
      </c>
      <c r="AB15" s="81">
        <f>AA15*30%</f>
        <v>439.5</v>
      </c>
      <c r="AC15" s="26"/>
      <c r="AD15" s="54">
        <f>SUM(AA15,AB15:AC15)</f>
        <v>1904.5</v>
      </c>
      <c r="AE15" s="20">
        <v>0.25</v>
      </c>
      <c r="AF15" s="3">
        <f>AD15*AE15</f>
        <v>476.125</v>
      </c>
      <c r="AG15" s="3">
        <f>SUM(AD15,AF15)</f>
        <v>2380.625</v>
      </c>
      <c r="AH15" s="3"/>
      <c r="AI15" s="3"/>
      <c r="AJ15" s="3"/>
      <c r="AK15" s="3"/>
    </row>
    <row r="16" spans="1:37" ht="12.75">
      <c r="A16" s="3">
        <v>115</v>
      </c>
      <c r="B16" s="138" t="s">
        <v>338</v>
      </c>
      <c r="C16" s="66" t="s">
        <v>339</v>
      </c>
      <c r="D16" s="66" t="s">
        <v>340</v>
      </c>
      <c r="E16" s="66">
        <v>1</v>
      </c>
      <c r="F16" s="3"/>
      <c r="G16" s="3" t="s">
        <v>161</v>
      </c>
      <c r="H16" s="3">
        <v>4023000</v>
      </c>
      <c r="I16" s="66">
        <f>H16*1.0829</f>
        <v>4356506.7</v>
      </c>
      <c r="J16" s="66">
        <f t="shared" si="3"/>
        <v>4488000</v>
      </c>
      <c r="K16" s="66">
        <v>4724000</v>
      </c>
      <c r="L16" s="66">
        <v>8200000</v>
      </c>
      <c r="M16" s="66">
        <f t="shared" si="4"/>
        <v>5291000</v>
      </c>
      <c r="N16" s="81">
        <f t="shared" si="5"/>
        <v>2909000</v>
      </c>
      <c r="O16" s="3">
        <f t="shared" si="6"/>
        <v>1105420</v>
      </c>
      <c r="P16" s="3">
        <f t="shared" si="7"/>
        <v>6396420</v>
      </c>
      <c r="Q16" s="3">
        <v>8200000</v>
      </c>
      <c r="R16" s="81">
        <f aca="true" t="shared" si="9" ref="R16:R21">CEILING(Q16*1.06,1000)</f>
        <v>8692000</v>
      </c>
      <c r="S16" s="81" t="s">
        <v>267</v>
      </c>
      <c r="T16" s="81" t="s">
        <v>297</v>
      </c>
      <c r="U16" s="81">
        <v>13158000</v>
      </c>
      <c r="V16" s="81">
        <v>11057000</v>
      </c>
      <c r="W16" s="81">
        <f t="shared" si="0"/>
        <v>2101000</v>
      </c>
      <c r="X16" s="81">
        <f t="shared" si="1"/>
        <v>945450</v>
      </c>
      <c r="Y16" s="81">
        <f t="shared" si="8"/>
        <v>12002450</v>
      </c>
      <c r="Z16" s="81">
        <f aca="true" t="shared" si="10" ref="Z16:Z21">ROUNDUP(Y16,-3)</f>
        <v>12003000</v>
      </c>
      <c r="AA16" s="81">
        <v>1465</v>
      </c>
      <c r="AB16" s="26"/>
      <c r="AC16" s="26"/>
      <c r="AD16" s="54">
        <f aca="true" t="shared" si="11" ref="AD16:AD22">SUM(AA16,AB16:AC16)</f>
        <v>1465</v>
      </c>
      <c r="AE16" s="20">
        <v>0.2</v>
      </c>
      <c r="AF16" s="3">
        <f aca="true" t="shared" si="12" ref="AF16:AF22">AD16*AE16</f>
        <v>293</v>
      </c>
      <c r="AG16" s="3">
        <f aca="true" t="shared" si="13" ref="AG16:AG22">SUM(AD16,AF16)</f>
        <v>1758</v>
      </c>
      <c r="AH16" s="3"/>
      <c r="AI16" s="3"/>
      <c r="AJ16" s="3"/>
      <c r="AK16" s="3"/>
    </row>
    <row r="17" spans="1:37" ht="12.75">
      <c r="A17" s="3">
        <v>116</v>
      </c>
      <c r="B17" s="138" t="s">
        <v>346</v>
      </c>
      <c r="C17" s="66" t="s">
        <v>345</v>
      </c>
      <c r="D17" s="66" t="s">
        <v>340</v>
      </c>
      <c r="E17" s="66">
        <v>1</v>
      </c>
      <c r="F17" s="3"/>
      <c r="G17" s="3" t="s">
        <v>93</v>
      </c>
      <c r="H17" s="3">
        <v>2624000</v>
      </c>
      <c r="I17" s="66">
        <f t="shared" si="2"/>
        <v>2841529.6</v>
      </c>
      <c r="J17" s="66">
        <f t="shared" si="3"/>
        <v>2927000</v>
      </c>
      <c r="K17" s="66">
        <v>3257000</v>
      </c>
      <c r="L17" s="66">
        <v>4532000</v>
      </c>
      <c r="M17" s="66">
        <f t="shared" si="4"/>
        <v>3648000</v>
      </c>
      <c r="N17" s="81">
        <f t="shared" si="5"/>
        <v>884000</v>
      </c>
      <c r="O17" s="3">
        <f t="shared" si="6"/>
        <v>335920</v>
      </c>
      <c r="P17" s="3">
        <f t="shared" si="7"/>
        <v>3983920</v>
      </c>
      <c r="Q17" s="3">
        <v>4532000</v>
      </c>
      <c r="R17" s="81">
        <f t="shared" si="9"/>
        <v>4804000</v>
      </c>
      <c r="S17" s="81" t="s">
        <v>255</v>
      </c>
      <c r="T17" s="81" t="s">
        <v>293</v>
      </c>
      <c r="U17" s="81">
        <v>7201000</v>
      </c>
      <c r="V17" s="81">
        <v>6316000</v>
      </c>
      <c r="W17" s="81">
        <f t="shared" si="0"/>
        <v>885000</v>
      </c>
      <c r="X17" s="81">
        <f t="shared" si="1"/>
        <v>398250</v>
      </c>
      <c r="Y17" s="81">
        <f t="shared" si="8"/>
        <v>6714250</v>
      </c>
      <c r="Z17" s="81">
        <f t="shared" si="10"/>
        <v>6715000</v>
      </c>
      <c r="AA17" s="81">
        <v>804</v>
      </c>
      <c r="AB17" s="26"/>
      <c r="AC17" s="26"/>
      <c r="AD17" s="54">
        <f t="shared" si="11"/>
        <v>804</v>
      </c>
      <c r="AE17" s="20">
        <v>0.25</v>
      </c>
      <c r="AF17" s="3">
        <f t="shared" si="12"/>
        <v>201</v>
      </c>
      <c r="AG17" s="3">
        <f t="shared" si="13"/>
        <v>1005</v>
      </c>
      <c r="AH17" s="3"/>
      <c r="AI17" s="3"/>
      <c r="AJ17" s="3"/>
      <c r="AK17" s="3"/>
    </row>
    <row r="18" spans="1:37" ht="12.75">
      <c r="A18" s="3">
        <v>117</v>
      </c>
      <c r="B18" s="138" t="s">
        <v>346</v>
      </c>
      <c r="C18" s="66" t="s">
        <v>345</v>
      </c>
      <c r="D18" s="66" t="s">
        <v>343</v>
      </c>
      <c r="E18" s="66">
        <v>3</v>
      </c>
      <c r="F18" s="3"/>
      <c r="G18" s="3" t="s">
        <v>217</v>
      </c>
      <c r="H18" s="3">
        <v>2624000</v>
      </c>
      <c r="I18" s="66">
        <f>H18*1.0829</f>
        <v>2841529.6</v>
      </c>
      <c r="J18" s="66">
        <f>CEILING(I18*1.03,1000)</f>
        <v>2927000</v>
      </c>
      <c r="K18" s="66">
        <v>3257000</v>
      </c>
      <c r="L18" s="66">
        <v>4532000</v>
      </c>
      <c r="M18" s="66">
        <f t="shared" si="4"/>
        <v>3648000</v>
      </c>
      <c r="N18" s="81">
        <f t="shared" si="5"/>
        <v>884000</v>
      </c>
      <c r="O18" s="3">
        <f t="shared" si="6"/>
        <v>335920</v>
      </c>
      <c r="P18" s="3">
        <f t="shared" si="7"/>
        <v>3983920</v>
      </c>
      <c r="Q18" s="3">
        <v>4532000</v>
      </c>
      <c r="R18" s="81">
        <f t="shared" si="9"/>
        <v>4804000</v>
      </c>
      <c r="S18" s="81" t="s">
        <v>255</v>
      </c>
      <c r="T18" s="81" t="s">
        <v>293</v>
      </c>
      <c r="U18" s="81">
        <v>7201000</v>
      </c>
      <c r="V18" s="81">
        <v>6316000</v>
      </c>
      <c r="W18" s="81">
        <f t="shared" si="0"/>
        <v>885000</v>
      </c>
      <c r="X18" s="81">
        <f t="shared" si="1"/>
        <v>398250</v>
      </c>
      <c r="Y18" s="81">
        <f t="shared" si="8"/>
        <v>6714250</v>
      </c>
      <c r="Z18" s="81">
        <f t="shared" si="10"/>
        <v>6715000</v>
      </c>
      <c r="AA18" s="81">
        <v>515</v>
      </c>
      <c r="AB18" s="26"/>
      <c r="AC18" s="26"/>
      <c r="AD18" s="54">
        <f t="shared" si="11"/>
        <v>515</v>
      </c>
      <c r="AE18" s="20"/>
      <c r="AF18" s="3">
        <f t="shared" si="12"/>
        <v>0</v>
      </c>
      <c r="AG18" s="3">
        <f t="shared" si="13"/>
        <v>515</v>
      </c>
      <c r="AH18" s="3"/>
      <c r="AI18" s="3"/>
      <c r="AJ18" s="3"/>
      <c r="AK18" s="3"/>
    </row>
    <row r="19" spans="1:37" ht="12.75">
      <c r="A19" s="3">
        <v>118</v>
      </c>
      <c r="B19" s="138" t="s">
        <v>346</v>
      </c>
      <c r="C19" s="66" t="s">
        <v>345</v>
      </c>
      <c r="D19" s="66" t="s">
        <v>340</v>
      </c>
      <c r="E19" s="66">
        <v>1</v>
      </c>
      <c r="F19" s="3"/>
      <c r="G19" s="3" t="s">
        <v>95</v>
      </c>
      <c r="H19" s="3">
        <v>2624000</v>
      </c>
      <c r="I19" s="66">
        <f t="shared" si="2"/>
        <v>2841529.6</v>
      </c>
      <c r="J19" s="66">
        <f t="shared" si="3"/>
        <v>2927000</v>
      </c>
      <c r="K19" s="66">
        <v>3257000</v>
      </c>
      <c r="L19" s="66">
        <v>4532000</v>
      </c>
      <c r="M19" s="66">
        <f t="shared" si="4"/>
        <v>3648000</v>
      </c>
      <c r="N19" s="81">
        <f t="shared" si="5"/>
        <v>884000</v>
      </c>
      <c r="O19" s="3">
        <f t="shared" si="6"/>
        <v>335920</v>
      </c>
      <c r="P19" s="3">
        <f t="shared" si="7"/>
        <v>3983920</v>
      </c>
      <c r="Q19" s="3">
        <v>4532000</v>
      </c>
      <c r="R19" s="81">
        <f t="shared" si="9"/>
        <v>4804000</v>
      </c>
      <c r="S19" s="81" t="s">
        <v>255</v>
      </c>
      <c r="T19" s="81" t="s">
        <v>293</v>
      </c>
      <c r="U19" s="81">
        <v>7201000</v>
      </c>
      <c r="V19" s="81">
        <v>6316000</v>
      </c>
      <c r="W19" s="81">
        <f t="shared" si="0"/>
        <v>885000</v>
      </c>
      <c r="X19" s="81">
        <f t="shared" si="1"/>
        <v>398250</v>
      </c>
      <c r="Y19" s="81">
        <f t="shared" si="8"/>
        <v>6714250</v>
      </c>
      <c r="Z19" s="81">
        <f t="shared" si="10"/>
        <v>6715000</v>
      </c>
      <c r="AA19" s="81">
        <v>804</v>
      </c>
      <c r="AB19" s="26"/>
      <c r="AC19" s="26"/>
      <c r="AD19" s="54">
        <f t="shared" si="11"/>
        <v>804</v>
      </c>
      <c r="AE19" s="20">
        <v>0.25</v>
      </c>
      <c r="AF19" s="3">
        <f t="shared" si="12"/>
        <v>201</v>
      </c>
      <c r="AG19" s="3">
        <f t="shared" si="13"/>
        <v>1005</v>
      </c>
      <c r="AH19" s="3"/>
      <c r="AI19" s="3"/>
      <c r="AJ19" s="3"/>
      <c r="AK19" s="3"/>
    </row>
    <row r="20" spans="1:37" ht="12.75">
      <c r="A20" s="3">
        <v>119</v>
      </c>
      <c r="B20" s="138" t="s">
        <v>346</v>
      </c>
      <c r="C20" s="66" t="s">
        <v>345</v>
      </c>
      <c r="D20" s="66" t="s">
        <v>340</v>
      </c>
      <c r="E20" s="66">
        <v>1</v>
      </c>
      <c r="F20" s="3"/>
      <c r="G20" s="3" t="s">
        <v>96</v>
      </c>
      <c r="H20" s="3">
        <v>2624000</v>
      </c>
      <c r="I20" s="66">
        <f t="shared" si="2"/>
        <v>2841529.6</v>
      </c>
      <c r="J20" s="66">
        <f t="shared" si="3"/>
        <v>2927000</v>
      </c>
      <c r="K20" s="66">
        <v>3257000</v>
      </c>
      <c r="L20" s="66">
        <v>4532000</v>
      </c>
      <c r="M20" s="66">
        <f t="shared" si="4"/>
        <v>3648000</v>
      </c>
      <c r="N20" s="81">
        <f t="shared" si="5"/>
        <v>884000</v>
      </c>
      <c r="O20" s="3">
        <f t="shared" si="6"/>
        <v>335920</v>
      </c>
      <c r="P20" s="3">
        <f t="shared" si="7"/>
        <v>3983920</v>
      </c>
      <c r="Q20" s="3">
        <v>4532000</v>
      </c>
      <c r="R20" s="81">
        <f t="shared" si="9"/>
        <v>4804000</v>
      </c>
      <c r="S20" s="81" t="s">
        <v>255</v>
      </c>
      <c r="T20" s="81" t="s">
        <v>293</v>
      </c>
      <c r="U20" s="81">
        <v>7201000</v>
      </c>
      <c r="V20" s="81">
        <v>6316000</v>
      </c>
      <c r="W20" s="81">
        <f t="shared" si="0"/>
        <v>885000</v>
      </c>
      <c r="X20" s="81">
        <f t="shared" si="1"/>
        <v>398250</v>
      </c>
      <c r="Y20" s="81">
        <f t="shared" si="8"/>
        <v>6714250</v>
      </c>
      <c r="Z20" s="81">
        <f t="shared" si="10"/>
        <v>6715000</v>
      </c>
      <c r="AA20" s="81">
        <v>804</v>
      </c>
      <c r="AB20" s="26"/>
      <c r="AC20" s="26"/>
      <c r="AD20" s="54">
        <f t="shared" si="11"/>
        <v>804</v>
      </c>
      <c r="AE20" s="20">
        <v>0.25</v>
      </c>
      <c r="AF20" s="3">
        <f t="shared" si="12"/>
        <v>201</v>
      </c>
      <c r="AG20" s="3">
        <f t="shared" si="13"/>
        <v>1005</v>
      </c>
      <c r="AH20" s="3"/>
      <c r="AI20" s="3"/>
      <c r="AJ20" s="3"/>
      <c r="AK20" s="3"/>
    </row>
    <row r="21" spans="1:37" ht="12.75">
      <c r="A21" s="3">
        <v>120</v>
      </c>
      <c r="B21" s="138" t="s">
        <v>346</v>
      </c>
      <c r="C21" s="66" t="s">
        <v>345</v>
      </c>
      <c r="D21" s="66" t="s">
        <v>340</v>
      </c>
      <c r="E21" s="66">
        <v>1</v>
      </c>
      <c r="F21" s="3"/>
      <c r="G21" s="3" t="s">
        <v>94</v>
      </c>
      <c r="H21" s="3">
        <v>2624000</v>
      </c>
      <c r="I21" s="66">
        <f t="shared" si="2"/>
        <v>2841529.6</v>
      </c>
      <c r="J21" s="66">
        <f t="shared" si="3"/>
        <v>2927000</v>
      </c>
      <c r="K21" s="66">
        <v>3257000</v>
      </c>
      <c r="L21" s="66">
        <v>4532000</v>
      </c>
      <c r="M21" s="66">
        <f t="shared" si="4"/>
        <v>3648000</v>
      </c>
      <c r="N21" s="81">
        <f t="shared" si="5"/>
        <v>884000</v>
      </c>
      <c r="O21" s="3">
        <f t="shared" si="6"/>
        <v>335920</v>
      </c>
      <c r="P21" s="3">
        <f t="shared" si="7"/>
        <v>3983920</v>
      </c>
      <c r="Q21" s="3">
        <v>4532000</v>
      </c>
      <c r="R21" s="81">
        <f t="shared" si="9"/>
        <v>4804000</v>
      </c>
      <c r="S21" s="81" t="s">
        <v>258</v>
      </c>
      <c r="T21" s="81" t="s">
        <v>293</v>
      </c>
      <c r="U21" s="81">
        <v>7201000</v>
      </c>
      <c r="V21" s="81">
        <v>6316000</v>
      </c>
      <c r="W21" s="81">
        <f t="shared" si="0"/>
        <v>885000</v>
      </c>
      <c r="X21" s="81">
        <f t="shared" si="1"/>
        <v>398250</v>
      </c>
      <c r="Y21" s="81">
        <f t="shared" si="8"/>
        <v>6714250</v>
      </c>
      <c r="Z21" s="81">
        <f t="shared" si="10"/>
        <v>6715000</v>
      </c>
      <c r="AA21" s="81">
        <v>804</v>
      </c>
      <c r="AB21" s="26"/>
      <c r="AD21" s="54">
        <f t="shared" si="11"/>
        <v>804</v>
      </c>
      <c r="AE21" s="20">
        <v>0.25</v>
      </c>
      <c r="AF21" s="3">
        <f t="shared" si="12"/>
        <v>201</v>
      </c>
      <c r="AG21" s="3">
        <f t="shared" si="13"/>
        <v>1005</v>
      </c>
      <c r="AH21" s="3"/>
      <c r="AI21" s="3"/>
      <c r="AJ21" s="3"/>
      <c r="AK21" s="3"/>
    </row>
    <row r="22" spans="1:37" ht="12.75">
      <c r="A22" s="3">
        <v>121</v>
      </c>
      <c r="B22" s="83" t="s">
        <v>223</v>
      </c>
      <c r="C22" s="5"/>
      <c r="D22" s="5"/>
      <c r="E22" s="5"/>
      <c r="F22" s="3"/>
      <c r="G22" s="3" t="s">
        <v>90</v>
      </c>
      <c r="H22" s="3">
        <v>4023000</v>
      </c>
      <c r="I22" s="66">
        <f>H22*1.0829</f>
        <v>4356506.7</v>
      </c>
      <c r="J22" s="66">
        <f>CEILING(I22*1.03,1000)</f>
        <v>4488000</v>
      </c>
      <c r="K22" s="66">
        <v>4993000</v>
      </c>
      <c r="L22" s="66">
        <v>8200000</v>
      </c>
      <c r="M22" s="66">
        <f>CEILING(K22*1.12,1000)</f>
        <v>5593000</v>
      </c>
      <c r="N22" s="81">
        <f>L22-M22</f>
        <v>2607000</v>
      </c>
      <c r="O22" s="3">
        <f>N22*0.38</f>
        <v>990660</v>
      </c>
      <c r="P22" s="3">
        <f>M22+O22</f>
        <v>6583660</v>
      </c>
      <c r="Q22" s="3">
        <v>6432000</v>
      </c>
      <c r="R22" s="81">
        <f>CEILING(Q22*1.06,1000)</f>
        <v>6818000</v>
      </c>
      <c r="S22" s="81"/>
      <c r="T22" s="81"/>
      <c r="U22" s="81"/>
      <c r="V22" s="81">
        <f>CEILING(R22*1.06,1000)</f>
        <v>7228000</v>
      </c>
      <c r="W22" s="81"/>
      <c r="X22" s="81">
        <f t="shared" si="1"/>
        <v>0</v>
      </c>
      <c r="Y22" s="81">
        <v>7228000</v>
      </c>
      <c r="Z22" s="81">
        <v>8042000</v>
      </c>
      <c r="AA22" s="81">
        <v>1325</v>
      </c>
      <c r="AB22" s="26"/>
      <c r="AC22" s="26"/>
      <c r="AD22" s="54">
        <f t="shared" si="11"/>
        <v>1325</v>
      </c>
      <c r="AE22" s="20">
        <v>0.2</v>
      </c>
      <c r="AF22" s="3">
        <f t="shared" si="12"/>
        <v>265</v>
      </c>
      <c r="AG22" s="3">
        <f t="shared" si="13"/>
        <v>1590</v>
      </c>
      <c r="AH22" s="3"/>
      <c r="AI22" s="3"/>
      <c r="AJ22" s="3"/>
      <c r="AK22" s="3"/>
    </row>
    <row r="23" spans="23:29" ht="12.75">
      <c r="W23" s="81">
        <f t="shared" si="0"/>
        <v>0</v>
      </c>
      <c r="X23" s="81">
        <f t="shared" si="1"/>
        <v>0</v>
      </c>
      <c r="Y23" s="81"/>
      <c r="Z23" s="81"/>
      <c r="AA23" s="81"/>
      <c r="AB23" s="63"/>
      <c r="AC23" s="63"/>
    </row>
    <row r="24" spans="1:37" ht="12.75">
      <c r="A24" s="3"/>
      <c r="B24" s="83" t="s">
        <v>381</v>
      </c>
      <c r="C24" s="5"/>
      <c r="D24" s="5"/>
      <c r="E24" s="5"/>
      <c r="F24" s="3"/>
      <c r="G24" s="3"/>
      <c r="H24" s="3"/>
      <c r="I24" s="66"/>
      <c r="J24" s="66"/>
      <c r="K24" s="66"/>
      <c r="L24" s="66"/>
      <c r="M24" s="66"/>
      <c r="N24" s="81"/>
      <c r="O24" s="3"/>
      <c r="P24" s="3"/>
      <c r="Q24" s="3"/>
      <c r="R24" s="3"/>
      <c r="S24" s="3"/>
      <c r="T24" s="3"/>
      <c r="U24" s="3"/>
      <c r="V24" s="3"/>
      <c r="W24" s="81">
        <f t="shared" si="0"/>
        <v>0</v>
      </c>
      <c r="X24" s="81">
        <f t="shared" si="1"/>
        <v>0</v>
      </c>
      <c r="Y24" s="81"/>
      <c r="Z24" s="81"/>
      <c r="AA24" s="81"/>
      <c r="AB24" s="26"/>
      <c r="AC24" s="26"/>
      <c r="AD24" s="3"/>
      <c r="AE24" s="20"/>
      <c r="AF24" s="3"/>
      <c r="AG24" s="3"/>
      <c r="AH24" s="3"/>
      <c r="AI24" s="3"/>
      <c r="AJ24" s="3"/>
      <c r="AK24" s="3"/>
    </row>
    <row r="25" spans="1:37" ht="12.75">
      <c r="A25" s="3">
        <v>122</v>
      </c>
      <c r="B25" s="138" t="s">
        <v>338</v>
      </c>
      <c r="C25" s="66" t="s">
        <v>339</v>
      </c>
      <c r="D25" s="66" t="s">
        <v>343</v>
      </c>
      <c r="E25" s="66">
        <v>3</v>
      </c>
      <c r="F25" s="3"/>
      <c r="G25" s="3" t="s">
        <v>217</v>
      </c>
      <c r="H25" s="3">
        <v>4023000</v>
      </c>
      <c r="I25" s="66">
        <f>H25*1.0829</f>
        <v>4356506.7</v>
      </c>
      <c r="J25" s="66">
        <f>CEILING(I25*1.03,1000)</f>
        <v>4488000</v>
      </c>
      <c r="K25" s="66">
        <v>4993000</v>
      </c>
      <c r="L25" s="66">
        <v>8200000</v>
      </c>
      <c r="M25" s="66">
        <f>CEILING(K25*1.12,1000)</f>
        <v>5593000</v>
      </c>
      <c r="N25" s="81">
        <f>L25-M25</f>
        <v>2607000</v>
      </c>
      <c r="O25" s="3">
        <f>N25*0.38</f>
        <v>990660</v>
      </c>
      <c r="P25" s="3">
        <f>M25+O25</f>
        <v>6583660</v>
      </c>
      <c r="Q25" s="3">
        <v>8200000</v>
      </c>
      <c r="R25" s="81">
        <f>CEILING(Q25*1.06,1000)</f>
        <v>8692000</v>
      </c>
      <c r="S25" s="81" t="s">
        <v>267</v>
      </c>
      <c r="T25" s="81" t="s">
        <v>297</v>
      </c>
      <c r="U25" s="81">
        <v>13158000</v>
      </c>
      <c r="V25" s="81">
        <v>11057000</v>
      </c>
      <c r="W25" s="81">
        <f t="shared" si="0"/>
        <v>2101000</v>
      </c>
      <c r="X25" s="81">
        <f t="shared" si="1"/>
        <v>945450</v>
      </c>
      <c r="Y25" s="81">
        <f t="shared" si="8"/>
        <v>12002450</v>
      </c>
      <c r="Z25" s="81">
        <f>ROUNDUP(Y25,-3)</f>
        <v>12003000</v>
      </c>
      <c r="AA25" s="213">
        <v>887</v>
      </c>
      <c r="AB25" s="81"/>
      <c r="AC25" s="26"/>
      <c r="AD25" s="54">
        <f>SUM(AA25,AB25:AC25)</f>
        <v>887</v>
      </c>
      <c r="AE25" s="20"/>
      <c r="AF25" s="3">
        <f>AD25*AE25</f>
        <v>0</v>
      </c>
      <c r="AG25" s="3">
        <f>SUM(AD25,AF25)</f>
        <v>887</v>
      </c>
      <c r="AH25" s="3"/>
      <c r="AI25" s="3"/>
      <c r="AJ25" s="3"/>
      <c r="AK25" s="3"/>
    </row>
    <row r="26" spans="1:37" ht="12.75">
      <c r="A26" s="3">
        <v>123</v>
      </c>
      <c r="B26" s="138" t="s">
        <v>338</v>
      </c>
      <c r="C26" s="66" t="s">
        <v>339</v>
      </c>
      <c r="D26" s="66" t="s">
        <v>340</v>
      </c>
      <c r="E26" s="66">
        <v>1</v>
      </c>
      <c r="F26" s="54"/>
      <c r="G26" s="26" t="s">
        <v>124</v>
      </c>
      <c r="H26" s="56">
        <v>3625000</v>
      </c>
      <c r="I26" s="55">
        <f>H26*1.0829</f>
        <v>3925512.5</v>
      </c>
      <c r="J26" s="55">
        <f>CEILING(I26*1.03,1000)</f>
        <v>4044000</v>
      </c>
      <c r="K26" s="55">
        <v>4385000</v>
      </c>
      <c r="L26" s="55">
        <v>4385000</v>
      </c>
      <c r="M26" s="56">
        <v>4385000</v>
      </c>
      <c r="N26" s="81">
        <f>L26-M26</f>
        <v>0</v>
      </c>
      <c r="O26" s="3">
        <f>N26*0.38</f>
        <v>0</v>
      </c>
      <c r="P26" s="3">
        <f>M26+O26</f>
        <v>4385000</v>
      </c>
      <c r="Q26" s="3">
        <v>8200000</v>
      </c>
      <c r="R26" s="81">
        <f>CEILING(Q26*1.06,1000)</f>
        <v>8692000</v>
      </c>
      <c r="S26" s="81" t="s">
        <v>267</v>
      </c>
      <c r="T26" s="81" t="s">
        <v>297</v>
      </c>
      <c r="U26" s="81">
        <v>13158000</v>
      </c>
      <c r="V26" s="81">
        <v>11057000</v>
      </c>
      <c r="W26" s="81">
        <f>U26-V26</f>
        <v>2101000</v>
      </c>
      <c r="X26" s="81">
        <f>W26*45%</f>
        <v>945450</v>
      </c>
      <c r="Y26" s="81">
        <f>SUM(V26,X26)</f>
        <v>12002450</v>
      </c>
      <c r="Z26" s="81">
        <f>ROUNDUP(Y26,-3)</f>
        <v>12003000</v>
      </c>
      <c r="AA26" s="81">
        <v>1465</v>
      </c>
      <c r="AB26" s="66"/>
      <c r="AC26" s="81">
        <f>(AA26+AB26)*15%</f>
        <v>219.75</v>
      </c>
      <c r="AD26" s="54">
        <f>SUM(AA26,AB26:AC26)</f>
        <v>1684.75</v>
      </c>
      <c r="AE26" s="132">
        <v>0.15</v>
      </c>
      <c r="AF26" s="3">
        <f>AD26*AE26</f>
        <v>252.71249999999998</v>
      </c>
      <c r="AG26" s="3">
        <f>SUM(AD26,AF26)</f>
        <v>1937.4625</v>
      </c>
      <c r="AH26" s="54"/>
      <c r="AI26" s="3"/>
      <c r="AJ26" s="3"/>
      <c r="AK26" s="3"/>
    </row>
    <row r="27" spans="1:37" s="63" customFormat="1" ht="12.75">
      <c r="A27" s="26">
        <v>124</v>
      </c>
      <c r="B27" s="138" t="s">
        <v>338</v>
      </c>
      <c r="C27" s="66" t="s">
        <v>339</v>
      </c>
      <c r="D27" s="66" t="s">
        <v>340</v>
      </c>
      <c r="E27" s="66">
        <v>1</v>
      </c>
      <c r="F27" s="66"/>
      <c r="G27" s="26" t="s">
        <v>382</v>
      </c>
      <c r="H27" s="81">
        <v>4023000</v>
      </c>
      <c r="I27" s="66">
        <f>H27*1.0829</f>
        <v>4356506.7</v>
      </c>
      <c r="J27" s="66">
        <f>CEILING(I27*1.03,1000)</f>
        <v>4488000</v>
      </c>
      <c r="K27" s="66">
        <v>4993000</v>
      </c>
      <c r="L27" s="66">
        <v>8200000</v>
      </c>
      <c r="M27" s="81">
        <f>CEILING(K27*1.12,1000)</f>
        <v>5593000</v>
      </c>
      <c r="N27" s="81">
        <f>L27-M27</f>
        <v>2607000</v>
      </c>
      <c r="O27" s="26">
        <f>N27*0.38</f>
        <v>990660</v>
      </c>
      <c r="P27" s="26">
        <f>M27+O27</f>
        <v>6583660</v>
      </c>
      <c r="Q27" s="26">
        <v>8200000</v>
      </c>
      <c r="R27" s="81">
        <f>CEILING(Q27*1.06,1000)</f>
        <v>8692000</v>
      </c>
      <c r="S27" s="81" t="s">
        <v>267</v>
      </c>
      <c r="T27" s="81" t="s">
        <v>297</v>
      </c>
      <c r="U27" s="81">
        <v>13158000</v>
      </c>
      <c r="V27" s="81">
        <v>11057000</v>
      </c>
      <c r="W27" s="81">
        <f>U27-V27</f>
        <v>2101000</v>
      </c>
      <c r="X27" s="81">
        <f>W27*45%</f>
        <v>945450</v>
      </c>
      <c r="Y27" s="81">
        <f>SUM(V27,X27)</f>
        <v>12002450</v>
      </c>
      <c r="Z27" s="81">
        <f>ROUNDUP(Y27,-3)</f>
        <v>12003000</v>
      </c>
      <c r="AA27" s="81">
        <v>1465</v>
      </c>
      <c r="AB27" s="66"/>
      <c r="AC27" s="66"/>
      <c r="AD27" s="54">
        <f>SUM(AA27,AB27:AC27)</f>
        <v>1465</v>
      </c>
      <c r="AE27" s="132">
        <v>0.25</v>
      </c>
      <c r="AF27" s="3">
        <f>AD27*AE27</f>
        <v>366.25</v>
      </c>
      <c r="AG27" s="3">
        <f>SUM(AD27,AF27)</f>
        <v>1831.25</v>
      </c>
      <c r="AH27" s="26"/>
      <c r="AI27" s="26"/>
      <c r="AJ27" s="26"/>
      <c r="AK27" s="26"/>
    </row>
    <row r="28" spans="1:37" ht="12.75">
      <c r="A28" s="3">
        <v>125</v>
      </c>
      <c r="B28" s="138" t="s">
        <v>346</v>
      </c>
      <c r="C28" s="66" t="s">
        <v>345</v>
      </c>
      <c r="D28" s="66" t="s">
        <v>340</v>
      </c>
      <c r="E28" s="66">
        <v>1</v>
      </c>
      <c r="F28" s="3"/>
      <c r="G28" s="3" t="s">
        <v>91</v>
      </c>
      <c r="H28" s="3">
        <v>2624000</v>
      </c>
      <c r="I28" s="66">
        <f>H28*1.0829</f>
        <v>2841529.6</v>
      </c>
      <c r="J28" s="66">
        <f>CEILING(I28*1.03,1000)</f>
        <v>2927000</v>
      </c>
      <c r="K28" s="66">
        <v>3257000</v>
      </c>
      <c r="L28" s="66">
        <v>4532000</v>
      </c>
      <c r="M28" s="66">
        <f>CEILING(K28*1.12,1000)</f>
        <v>3648000</v>
      </c>
      <c r="N28" s="81">
        <f>L28-M28</f>
        <v>884000</v>
      </c>
      <c r="O28" s="3">
        <f>N28*0.38</f>
        <v>335920</v>
      </c>
      <c r="P28" s="3">
        <f>M28+O28</f>
        <v>3983920</v>
      </c>
      <c r="Q28" s="3">
        <v>4532000</v>
      </c>
      <c r="R28" s="81">
        <f>CEILING(Q28*1.06,1000)</f>
        <v>4804000</v>
      </c>
      <c r="S28" s="81" t="s">
        <v>255</v>
      </c>
      <c r="T28" s="81" t="s">
        <v>293</v>
      </c>
      <c r="U28" s="81">
        <v>7201000</v>
      </c>
      <c r="V28" s="81">
        <v>6316000</v>
      </c>
      <c r="W28" s="81">
        <f>U28-V28</f>
        <v>885000</v>
      </c>
      <c r="X28" s="81">
        <f>W28*45%</f>
        <v>398250</v>
      </c>
      <c r="Y28" s="81">
        <f>SUM(V28,X28)</f>
        <v>6714250</v>
      </c>
      <c r="Z28" s="81">
        <f>ROUNDUP(Y28,-3)</f>
        <v>6715000</v>
      </c>
      <c r="AA28" s="81">
        <v>804</v>
      </c>
      <c r="AB28" s="26"/>
      <c r="AC28" s="81">
        <f>(AA28+AB28)*15%</f>
        <v>120.6</v>
      </c>
      <c r="AD28" s="54">
        <f>SUM(AA28,AB28:AC28)</f>
        <v>924.6</v>
      </c>
      <c r="AE28" s="20">
        <v>0.25</v>
      </c>
      <c r="AF28" s="3">
        <f>AD28*AE28</f>
        <v>231.15</v>
      </c>
      <c r="AG28" s="3">
        <f>SUM(AD28,AF28)</f>
        <v>1155.75</v>
      </c>
      <c r="AH28" s="3"/>
      <c r="AI28" s="3"/>
      <c r="AJ28" s="3"/>
      <c r="AK28" s="3"/>
    </row>
    <row r="29" spans="1:37" ht="12.75">
      <c r="A29" s="3">
        <v>126</v>
      </c>
      <c r="B29" s="138" t="s">
        <v>338</v>
      </c>
      <c r="C29" s="66" t="s">
        <v>339</v>
      </c>
      <c r="D29" s="66" t="s">
        <v>355</v>
      </c>
      <c r="E29" s="66"/>
      <c r="F29" s="3"/>
      <c r="G29" s="3" t="s">
        <v>501</v>
      </c>
      <c r="H29" s="3">
        <v>2624000</v>
      </c>
      <c r="I29" s="66">
        <f>H29*1.0829</f>
        <v>2841529.6</v>
      </c>
      <c r="J29" s="66">
        <f>CEILING(I29*1.03,1000)</f>
        <v>2927000</v>
      </c>
      <c r="K29" s="66">
        <v>3257000</v>
      </c>
      <c r="L29" s="66">
        <v>4532000</v>
      </c>
      <c r="M29" s="66">
        <f>CEILING(K29*1.12,1000)</f>
        <v>3648000</v>
      </c>
      <c r="N29" s="81">
        <f>L29-M29</f>
        <v>884000</v>
      </c>
      <c r="O29" s="3">
        <f>N29*0.38</f>
        <v>335920</v>
      </c>
      <c r="P29" s="3">
        <f>M29+O29</f>
        <v>3983920</v>
      </c>
      <c r="Q29" s="3">
        <v>4532000</v>
      </c>
      <c r="R29" s="81">
        <f>CEILING(Q29*1.06,1000)</f>
        <v>4804000</v>
      </c>
      <c r="S29" s="81" t="s">
        <v>255</v>
      </c>
      <c r="T29" s="81" t="s">
        <v>293</v>
      </c>
      <c r="U29" s="81">
        <v>7201000</v>
      </c>
      <c r="V29" s="81">
        <v>6316000</v>
      </c>
      <c r="W29" s="81">
        <f t="shared" si="0"/>
        <v>885000</v>
      </c>
      <c r="X29" s="81">
        <f t="shared" si="1"/>
        <v>398250</v>
      </c>
      <c r="Y29" s="81">
        <f t="shared" si="8"/>
        <v>6714250</v>
      </c>
      <c r="Z29" s="81">
        <v>4375000</v>
      </c>
      <c r="AA29" s="81">
        <v>533</v>
      </c>
      <c r="AB29" s="26"/>
      <c r="AC29" s="26"/>
      <c r="AD29" s="54">
        <f>SUM(AA29,AB29:AC29)</f>
        <v>533</v>
      </c>
      <c r="AE29" s="20"/>
      <c r="AF29" s="260"/>
      <c r="AG29" s="3">
        <f>SUM(AD29,AF29)</f>
        <v>533</v>
      </c>
      <c r="AH29" s="3"/>
      <c r="AI29" s="3"/>
      <c r="AJ29" s="3"/>
      <c r="AK29" s="3"/>
    </row>
    <row r="30" spans="1:37" ht="12.75">
      <c r="A30" s="3"/>
      <c r="B30" s="296" t="s">
        <v>504</v>
      </c>
      <c r="C30" s="66"/>
      <c r="D30" s="66"/>
      <c r="E30" s="66"/>
      <c r="F30" s="3"/>
      <c r="G30" s="3"/>
      <c r="H30" s="3"/>
      <c r="I30" s="66"/>
      <c r="J30" s="66"/>
      <c r="K30" s="66"/>
      <c r="L30" s="66"/>
      <c r="M30" s="66"/>
      <c r="N30" s="81"/>
      <c r="O30" s="3"/>
      <c r="P30" s="3"/>
      <c r="Q30" s="3"/>
      <c r="R30" s="81"/>
      <c r="S30" s="81"/>
      <c r="T30" s="81"/>
      <c r="U30" s="81"/>
      <c r="V30" s="81"/>
      <c r="W30" s="81"/>
      <c r="X30" s="81"/>
      <c r="Y30" s="81"/>
      <c r="Z30" s="81"/>
      <c r="AA30" s="294">
        <f>SUM(AA12:AA21,AA25:AA29)</f>
        <v>13280</v>
      </c>
      <c r="AB30" s="294">
        <f aca="true" t="shared" si="14" ref="AB30:AG30">SUM(AB12:AB21,AB25:AB29)</f>
        <v>1245.25</v>
      </c>
      <c r="AC30" s="294">
        <f t="shared" si="14"/>
        <v>340.35</v>
      </c>
      <c r="AD30" s="294">
        <f t="shared" si="14"/>
        <v>14865.6</v>
      </c>
      <c r="AE30" s="294">
        <f t="shared" si="14"/>
        <v>2.3499999999999996</v>
      </c>
      <c r="AF30" s="294">
        <f t="shared" si="14"/>
        <v>2990.925</v>
      </c>
      <c r="AG30" s="294">
        <f t="shared" si="14"/>
        <v>17856.525</v>
      </c>
      <c r="AH30" s="3"/>
      <c r="AI30" s="3"/>
      <c r="AJ30" s="3"/>
      <c r="AK30" s="3"/>
    </row>
    <row r="31" spans="2:33" ht="12.75">
      <c r="B31" s="179" t="s">
        <v>505</v>
      </c>
      <c r="C31" s="174"/>
      <c r="D31" s="174"/>
      <c r="E31" s="174"/>
      <c r="Q31" s="3"/>
      <c r="R31" s="3"/>
      <c r="S31" s="3"/>
      <c r="T31" s="3"/>
      <c r="U31" s="3"/>
      <c r="V31" s="3"/>
      <c r="W31" s="3"/>
      <c r="X31" s="3"/>
      <c r="Y31" s="3"/>
      <c r="Z31" s="3"/>
      <c r="AA31" s="294">
        <f>SUM(AA22:AA22)</f>
        <v>1325</v>
      </c>
      <c r="AB31" s="294">
        <f aca="true" t="shared" si="15" ref="AB31:AG31">SUM(AB22:AB22)</f>
        <v>0</v>
      </c>
      <c r="AC31" s="294">
        <f t="shared" si="15"/>
        <v>0</v>
      </c>
      <c r="AD31" s="294">
        <f t="shared" si="15"/>
        <v>1325</v>
      </c>
      <c r="AE31" s="294">
        <f t="shared" si="15"/>
        <v>0.2</v>
      </c>
      <c r="AF31" s="294">
        <f t="shared" si="15"/>
        <v>265</v>
      </c>
      <c r="AG31" s="294">
        <f t="shared" si="15"/>
        <v>1590</v>
      </c>
    </row>
    <row r="32" spans="1:39" s="69" customFormat="1" ht="15">
      <c r="A32" s="67"/>
      <c r="B32" s="180" t="s">
        <v>68</v>
      </c>
      <c r="C32" s="176"/>
      <c r="D32" s="176"/>
      <c r="E32" s="176"/>
      <c r="F32" s="68"/>
      <c r="G32" s="68"/>
      <c r="H32" s="68">
        <f aca="true" t="shared" si="16" ref="H32:R32">SUM(H12:H29)</f>
        <v>46131000</v>
      </c>
      <c r="I32" s="68">
        <f t="shared" si="16"/>
        <v>49955259.90000001</v>
      </c>
      <c r="J32" s="68">
        <f t="shared" si="16"/>
        <v>51461000</v>
      </c>
      <c r="K32" s="68">
        <f t="shared" si="16"/>
        <v>56873000</v>
      </c>
      <c r="L32" s="68">
        <f t="shared" si="16"/>
        <v>85309000</v>
      </c>
      <c r="M32" s="68">
        <f t="shared" si="16"/>
        <v>63177000</v>
      </c>
      <c r="N32" s="68">
        <f t="shared" si="16"/>
        <v>22132000</v>
      </c>
      <c r="O32" s="68">
        <f t="shared" si="16"/>
        <v>8410160</v>
      </c>
      <c r="P32" s="68">
        <f t="shared" si="16"/>
        <v>71587160</v>
      </c>
      <c r="Q32" s="68">
        <f t="shared" si="16"/>
        <v>87356000</v>
      </c>
      <c r="R32" s="68">
        <f t="shared" si="16"/>
        <v>92598000</v>
      </c>
      <c r="S32" s="68"/>
      <c r="T32" s="68"/>
      <c r="U32" s="68"/>
      <c r="V32" s="68">
        <f>SUM(V12:V29)</f>
        <v>117782000</v>
      </c>
      <c r="W32" s="68"/>
      <c r="X32" s="68"/>
      <c r="Y32" s="81">
        <v>7228000</v>
      </c>
      <c r="Z32" s="142">
        <f aca="true" t="shared" si="17" ref="Z32:AG32">SUM(Z12:Z29)</f>
        <v>124725000</v>
      </c>
      <c r="AA32" s="129">
        <f t="shared" si="17"/>
        <v>14605</v>
      </c>
      <c r="AB32" s="129">
        <f t="shared" si="17"/>
        <v>1245.25</v>
      </c>
      <c r="AC32" s="129">
        <f t="shared" si="17"/>
        <v>340.35</v>
      </c>
      <c r="AD32" s="129">
        <f t="shared" si="17"/>
        <v>16190.6</v>
      </c>
      <c r="AE32" s="241"/>
      <c r="AF32" s="129">
        <f t="shared" si="17"/>
        <v>3255.925</v>
      </c>
      <c r="AG32" s="129">
        <f t="shared" si="17"/>
        <v>19446.525</v>
      </c>
      <c r="AH32" s="67"/>
      <c r="AI32" s="67"/>
      <c r="AJ32" s="67"/>
      <c r="AK32" s="67"/>
      <c r="AL32" s="67"/>
      <c r="AM32" s="67"/>
    </row>
    <row r="33" spans="1:39" s="1" customFormat="1" ht="12.75">
      <c r="A33" s="4"/>
      <c r="B33" s="177"/>
      <c r="C33" s="21"/>
      <c r="D33" s="21"/>
      <c r="E33" s="21"/>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1" customFormat="1" ht="12.75">
      <c r="A34" s="4"/>
      <c r="B34" s="177"/>
      <c r="C34" s="21"/>
      <c r="D34" s="21"/>
      <c r="E34" s="2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1" customFormat="1" ht="12.75">
      <c r="A35" s="4"/>
      <c r="B35" s="177"/>
      <c r="C35" s="21"/>
      <c r="D35" s="21"/>
      <c r="E35" s="2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1" customFormat="1" ht="13.5" thickBot="1">
      <c r="A36" s="4"/>
      <c r="B36" s="177"/>
      <c r="C36" s="21"/>
      <c r="D36" s="21"/>
      <c r="E36" s="21"/>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2.75">
      <c r="A37" s="3"/>
      <c r="B37" s="83"/>
      <c r="C37" s="5"/>
      <c r="D37" s="5"/>
      <c r="E37" s="5"/>
      <c r="F37" s="315"/>
      <c r="G37" s="301" t="s">
        <v>518</v>
      </c>
      <c r="H37" s="301"/>
      <c r="I37" s="301"/>
      <c r="J37" s="301"/>
      <c r="K37" s="301"/>
      <c r="L37" s="301"/>
      <c r="M37" s="301"/>
      <c r="N37" s="301"/>
      <c r="O37" s="301"/>
      <c r="P37" s="302"/>
      <c r="Q37" s="302"/>
      <c r="R37" s="302"/>
      <c r="S37" s="302"/>
      <c r="T37" s="302"/>
      <c r="U37" s="302"/>
      <c r="V37" s="302"/>
      <c r="W37" s="302"/>
      <c r="X37" s="302"/>
      <c r="Y37" s="302"/>
      <c r="Z37" s="302"/>
      <c r="AA37" s="302"/>
      <c r="AB37" s="303"/>
      <c r="AC37" s="304"/>
      <c r="AF37" s="26"/>
      <c r="AG37" s="26"/>
      <c r="AH37" s="3"/>
      <c r="AI37" s="3"/>
      <c r="AJ37" s="3"/>
      <c r="AK37" s="3"/>
      <c r="AL37" s="3"/>
      <c r="AM37" s="3"/>
    </row>
    <row r="38" spans="1:39" ht="12.75">
      <c r="A38" s="3"/>
      <c r="F38" s="308"/>
      <c r="G38" s="446" t="s">
        <v>514</v>
      </c>
      <c r="H38" s="446"/>
      <c r="I38" s="446"/>
      <c r="J38" s="446"/>
      <c r="K38" s="446"/>
      <c r="L38" s="446"/>
      <c r="M38" s="446"/>
      <c r="N38" s="446"/>
      <c r="O38" s="446"/>
      <c r="P38" s="446"/>
      <c r="Q38" s="446"/>
      <c r="R38" s="446"/>
      <c r="S38" s="446"/>
      <c r="T38" s="446"/>
      <c r="U38" s="446"/>
      <c r="V38" s="446"/>
      <c r="W38" s="446"/>
      <c r="X38" s="446"/>
      <c r="Y38" s="446"/>
      <c r="Z38" s="446"/>
      <c r="AA38" s="446"/>
      <c r="AB38" s="172"/>
      <c r="AC38" s="305"/>
      <c r="AH38" s="3"/>
      <c r="AI38" s="3"/>
      <c r="AJ38" s="3"/>
      <c r="AK38" s="3"/>
      <c r="AL38" s="3"/>
      <c r="AM38" s="3"/>
    </row>
    <row r="39" spans="1:39" ht="12.75">
      <c r="A39" s="3"/>
      <c r="B39" s="83"/>
      <c r="C39" s="5"/>
      <c r="D39" s="5"/>
      <c r="E39" s="5"/>
      <c r="F39" s="308"/>
      <c r="G39" s="442" t="s">
        <v>71</v>
      </c>
      <c r="H39" s="442"/>
      <c r="I39" s="442"/>
      <c r="J39" s="442"/>
      <c r="K39" s="442"/>
      <c r="L39" s="442"/>
      <c r="M39" s="442"/>
      <c r="N39" s="442"/>
      <c r="O39" s="442"/>
      <c r="P39" s="442"/>
      <c r="Q39" s="442"/>
      <c r="R39" s="442"/>
      <c r="S39" s="442"/>
      <c r="T39" s="442"/>
      <c r="U39" s="442"/>
      <c r="V39" s="442"/>
      <c r="W39" s="442"/>
      <c r="X39" s="442"/>
      <c r="Y39" s="442"/>
      <c r="Z39" s="442"/>
      <c r="AA39" s="442"/>
      <c r="AB39" s="84"/>
      <c r="AC39" s="305"/>
      <c r="AD39" s="3"/>
      <c r="AE39" s="3"/>
      <c r="AF39" s="26"/>
      <c r="AG39" s="26"/>
      <c r="AH39" s="3"/>
      <c r="AI39" s="3"/>
      <c r="AJ39" s="3"/>
      <c r="AK39" s="3"/>
      <c r="AL39" s="3"/>
      <c r="AM39" s="3"/>
    </row>
    <row r="40" spans="1:39" ht="12.75">
      <c r="A40" s="3"/>
      <c r="B40" s="83"/>
      <c r="C40" s="5"/>
      <c r="D40" s="5"/>
      <c r="E40" s="5"/>
      <c r="F40" s="308"/>
      <c r="G40" s="442" t="s">
        <v>320</v>
      </c>
      <c r="H40" s="442"/>
      <c r="I40" s="442"/>
      <c r="J40" s="442"/>
      <c r="K40" s="442"/>
      <c r="L40" s="442"/>
      <c r="M40" s="442"/>
      <c r="N40" s="442"/>
      <c r="O40" s="442"/>
      <c r="P40" s="442"/>
      <c r="Q40" s="442"/>
      <c r="R40" s="442"/>
      <c r="S40" s="442"/>
      <c r="T40" s="442"/>
      <c r="U40" s="442"/>
      <c r="V40" s="442"/>
      <c r="W40" s="442"/>
      <c r="X40" s="442"/>
      <c r="Y40" s="442"/>
      <c r="Z40" s="442"/>
      <c r="AA40" s="442"/>
      <c r="AB40" s="84"/>
      <c r="AC40" s="305"/>
      <c r="AD40" s="3"/>
      <c r="AE40" s="3"/>
      <c r="AF40" s="26"/>
      <c r="AG40" s="26"/>
      <c r="AH40" s="3"/>
      <c r="AI40" s="3"/>
      <c r="AJ40" s="3"/>
      <c r="AK40" s="3"/>
      <c r="AL40" s="3"/>
      <c r="AM40" s="3"/>
    </row>
    <row r="41" spans="1:39" ht="12.75">
      <c r="A41" s="3"/>
      <c r="B41" s="83"/>
      <c r="C41" s="5"/>
      <c r="D41" s="5"/>
      <c r="E41" s="5"/>
      <c r="F41" s="308"/>
      <c r="G41" s="442" t="s">
        <v>383</v>
      </c>
      <c r="H41" s="442"/>
      <c r="I41" s="442"/>
      <c r="J41" s="442"/>
      <c r="K41" s="442"/>
      <c r="L41" s="442"/>
      <c r="M41" s="442"/>
      <c r="N41" s="442"/>
      <c r="O41" s="442"/>
      <c r="P41" s="442"/>
      <c r="Q41" s="442"/>
      <c r="R41" s="442"/>
      <c r="S41" s="442"/>
      <c r="T41" s="442"/>
      <c r="U41" s="442"/>
      <c r="V41" s="442"/>
      <c r="W41" s="442"/>
      <c r="X41" s="442"/>
      <c r="Y41" s="442"/>
      <c r="Z41" s="442"/>
      <c r="AA41" s="442"/>
      <c r="AB41" s="84"/>
      <c r="AC41" s="305"/>
      <c r="AD41" s="3"/>
      <c r="AE41" s="3"/>
      <c r="AF41" s="26"/>
      <c r="AG41" s="26"/>
      <c r="AH41" s="3"/>
      <c r="AI41" s="3"/>
      <c r="AJ41" s="3"/>
      <c r="AK41" s="3"/>
      <c r="AL41" s="3"/>
      <c r="AM41" s="3"/>
    </row>
    <row r="42" spans="1:39" ht="12.75">
      <c r="A42" s="3"/>
      <c r="B42" s="83"/>
      <c r="C42" s="5"/>
      <c r="D42" s="5"/>
      <c r="E42" s="5"/>
      <c r="F42" s="308"/>
      <c r="G42" s="442" t="s">
        <v>384</v>
      </c>
      <c r="H42" s="442"/>
      <c r="I42" s="442"/>
      <c r="J42" s="442"/>
      <c r="K42" s="442"/>
      <c r="L42" s="442"/>
      <c r="M42" s="442"/>
      <c r="N42" s="442"/>
      <c r="O42" s="442"/>
      <c r="P42" s="442"/>
      <c r="Q42" s="442"/>
      <c r="R42" s="442"/>
      <c r="S42" s="442"/>
      <c r="T42" s="442"/>
      <c r="U42" s="442"/>
      <c r="V42" s="442"/>
      <c r="W42" s="442"/>
      <c r="X42" s="442"/>
      <c r="Y42" s="442"/>
      <c r="Z42" s="442"/>
      <c r="AA42" s="442"/>
      <c r="AB42" s="84"/>
      <c r="AC42" s="305"/>
      <c r="AD42" s="3"/>
      <c r="AE42" s="3"/>
      <c r="AF42" s="26"/>
      <c r="AG42" s="26"/>
      <c r="AH42" s="3"/>
      <c r="AI42" s="3"/>
      <c r="AJ42" s="3"/>
      <c r="AK42" s="3"/>
      <c r="AL42" s="3"/>
      <c r="AM42" s="3"/>
    </row>
    <row r="43" spans="1:39" ht="12.75">
      <c r="A43" s="3"/>
      <c r="B43" s="83"/>
      <c r="C43" s="5"/>
      <c r="D43" s="5"/>
      <c r="E43" s="5"/>
      <c r="F43" s="308"/>
      <c r="G43" s="91" t="s">
        <v>441</v>
      </c>
      <c r="H43" s="91"/>
      <c r="I43" s="91"/>
      <c r="J43" s="157"/>
      <c r="K43" s="157"/>
      <c r="L43" s="157"/>
      <c r="M43" s="91" t="s">
        <v>328</v>
      </c>
      <c r="N43" s="91"/>
      <c r="O43" s="91"/>
      <c r="P43" s="91"/>
      <c r="Q43" s="91"/>
      <c r="R43" s="91"/>
      <c r="S43" s="91"/>
      <c r="T43" s="91"/>
      <c r="U43" s="91"/>
      <c r="V43" s="91"/>
      <c r="W43" s="91"/>
      <c r="X43" s="91"/>
      <c r="Y43" s="91"/>
      <c r="Z43" s="157"/>
      <c r="AA43" s="157"/>
      <c r="AB43" s="307">
        <f>AG32</f>
        <v>19446.525</v>
      </c>
      <c r="AC43" s="305"/>
      <c r="AE43" s="90"/>
      <c r="AF43" s="90"/>
      <c r="AH43" s="3"/>
      <c r="AI43" s="3"/>
      <c r="AJ43" s="3"/>
      <c r="AK43" s="3"/>
      <c r="AL43" s="3"/>
      <c r="AM43" s="3"/>
    </row>
    <row r="44" spans="1:39" ht="12.75">
      <c r="A44" s="3"/>
      <c r="B44" s="83"/>
      <c r="C44" s="5"/>
      <c r="D44" s="5"/>
      <c r="E44" s="5"/>
      <c r="F44" s="308"/>
      <c r="G44" s="2"/>
      <c r="H44" s="2"/>
      <c r="I44" s="2"/>
      <c r="J44" s="157"/>
      <c r="K44" s="157"/>
      <c r="L44" s="157"/>
      <c r="M44" s="157"/>
      <c r="N44" s="157"/>
      <c r="O44" s="157"/>
      <c r="P44" s="157"/>
      <c r="Q44" s="157"/>
      <c r="R44" s="157"/>
      <c r="S44" s="157"/>
      <c r="T44" s="157"/>
      <c r="U44" s="157"/>
      <c r="V44" s="157"/>
      <c r="W44" s="157"/>
      <c r="X44" s="157"/>
      <c r="Y44" s="157"/>
      <c r="Z44" s="157"/>
      <c r="AA44" s="2" t="s">
        <v>528</v>
      </c>
      <c r="AB44" s="2"/>
      <c r="AC44" s="305"/>
      <c r="AE44" s="3"/>
      <c r="AF44" s="26"/>
      <c r="AG44" s="26"/>
      <c r="AH44" s="3"/>
      <c r="AI44" s="3"/>
      <c r="AJ44" s="3"/>
      <c r="AK44" s="3"/>
      <c r="AL44" s="3"/>
      <c r="AM44" s="3"/>
    </row>
    <row r="45" spans="1:39" ht="12.75">
      <c r="A45" s="3"/>
      <c r="B45" s="83"/>
      <c r="C45" s="5"/>
      <c r="D45" s="5"/>
      <c r="E45" s="5"/>
      <c r="F45" s="308"/>
      <c r="G45" s="2"/>
      <c r="H45" s="2"/>
      <c r="I45" s="2"/>
      <c r="J45" s="157"/>
      <c r="K45" s="157"/>
      <c r="L45" s="157"/>
      <c r="M45" s="157"/>
      <c r="N45" s="157"/>
      <c r="O45" s="157"/>
      <c r="P45" s="157"/>
      <c r="Q45" s="157"/>
      <c r="R45" s="157"/>
      <c r="S45" s="157"/>
      <c r="T45" s="157"/>
      <c r="U45" s="157"/>
      <c r="V45" s="157"/>
      <c r="W45" s="157"/>
      <c r="X45" s="157"/>
      <c r="Y45" s="157"/>
      <c r="Z45" s="157"/>
      <c r="AA45" s="157"/>
      <c r="AB45" s="14"/>
      <c r="AC45" s="305"/>
      <c r="AD45" s="25"/>
      <c r="AE45" s="3"/>
      <c r="AF45" s="26"/>
      <c r="AG45" s="26"/>
      <c r="AH45" s="3"/>
      <c r="AI45" s="3"/>
      <c r="AJ45" s="3"/>
      <c r="AK45" s="3"/>
      <c r="AL45" s="3"/>
      <c r="AM45" s="3"/>
    </row>
    <row r="46" spans="1:39" ht="12.75">
      <c r="A46" s="3"/>
      <c r="B46" s="83"/>
      <c r="C46" s="5"/>
      <c r="D46" s="5"/>
      <c r="E46" s="5"/>
      <c r="F46" s="308"/>
      <c r="G46" s="443" t="s">
        <v>516</v>
      </c>
      <c r="H46" s="443"/>
      <c r="I46" s="443"/>
      <c r="J46" s="443"/>
      <c r="K46" s="443"/>
      <c r="L46" s="443"/>
      <c r="M46" s="443"/>
      <c r="N46" s="443"/>
      <c r="O46" s="443"/>
      <c r="P46" s="443"/>
      <c r="Q46" s="443"/>
      <c r="R46" s="443"/>
      <c r="S46" s="443"/>
      <c r="T46" s="443"/>
      <c r="U46" s="443"/>
      <c r="V46" s="443"/>
      <c r="W46" s="443"/>
      <c r="X46" s="443"/>
      <c r="Y46" s="443"/>
      <c r="Z46" s="443"/>
      <c r="AA46" s="443"/>
      <c r="AB46" s="443"/>
      <c r="AC46" s="444"/>
      <c r="AH46" s="3"/>
      <c r="AI46" s="3"/>
      <c r="AJ46" s="3"/>
      <c r="AK46" s="3"/>
      <c r="AL46" s="3"/>
      <c r="AM46" s="3"/>
    </row>
    <row r="47" spans="1:39" ht="12.75">
      <c r="A47" s="3"/>
      <c r="B47" s="83"/>
      <c r="C47" s="5"/>
      <c r="D47" s="5"/>
      <c r="E47" s="5"/>
      <c r="F47" s="308"/>
      <c r="G47" s="314" t="s">
        <v>515</v>
      </c>
      <c r="H47" s="2"/>
      <c r="I47" s="2"/>
      <c r="J47" s="157"/>
      <c r="K47" s="157"/>
      <c r="L47" s="157"/>
      <c r="M47" s="91" t="s">
        <v>323</v>
      </c>
      <c r="N47" s="91"/>
      <c r="O47" s="91"/>
      <c r="P47" s="91"/>
      <c r="Q47" s="91"/>
      <c r="R47" s="91"/>
      <c r="S47" s="91"/>
      <c r="T47" s="91"/>
      <c r="U47" s="91"/>
      <c r="V47" s="91"/>
      <c r="W47" s="91"/>
      <c r="X47" s="91"/>
      <c r="Y47" s="91"/>
      <c r="Z47" s="91"/>
      <c r="AA47" s="91" t="s">
        <v>517</v>
      </c>
      <c r="AB47" s="2"/>
      <c r="AC47" s="309"/>
      <c r="AD47" s="90"/>
      <c r="AE47" s="90"/>
      <c r="AF47" s="90"/>
      <c r="AH47" s="3"/>
      <c r="AI47" s="3"/>
      <c r="AJ47" s="3"/>
      <c r="AK47" s="3"/>
      <c r="AL47" s="3"/>
      <c r="AM47" s="3"/>
    </row>
    <row r="48" spans="1:39" ht="13.5" thickBot="1">
      <c r="A48" s="3"/>
      <c r="B48" s="83"/>
      <c r="C48" s="5"/>
      <c r="D48" s="5"/>
      <c r="E48" s="5"/>
      <c r="F48" s="103"/>
      <c r="G48" s="17"/>
      <c r="H48" s="17"/>
      <c r="I48" s="17"/>
      <c r="J48" s="310"/>
      <c r="K48" s="310"/>
      <c r="L48" s="310"/>
      <c r="M48" s="311"/>
      <c r="N48" s="311"/>
      <c r="O48" s="311"/>
      <c r="P48" s="311"/>
      <c r="Q48" s="311"/>
      <c r="R48" s="311"/>
      <c r="S48" s="311"/>
      <c r="T48" s="311"/>
      <c r="U48" s="311"/>
      <c r="V48" s="311"/>
      <c r="W48" s="311"/>
      <c r="X48" s="311"/>
      <c r="Y48" s="311"/>
      <c r="Z48" s="311"/>
      <c r="AA48" s="311"/>
      <c r="AB48" s="312"/>
      <c r="AC48" s="313"/>
      <c r="AG48" s="3"/>
      <c r="AH48" s="3"/>
      <c r="AI48" s="3"/>
      <c r="AJ48" s="3"/>
      <c r="AK48" s="3"/>
      <c r="AL48" s="3"/>
      <c r="AM48" s="3"/>
    </row>
  </sheetData>
  <mergeCells count="11">
    <mergeCell ref="G41:AA41"/>
    <mergeCell ref="G42:AA42"/>
    <mergeCell ref="G46:AC46"/>
    <mergeCell ref="B14:G14"/>
    <mergeCell ref="G38:AA38"/>
    <mergeCell ref="G39:AA39"/>
    <mergeCell ref="G40:AA40"/>
    <mergeCell ref="AE1:AF1"/>
    <mergeCell ref="AE2:AF2"/>
    <mergeCell ref="B9:F9"/>
    <mergeCell ref="AE9:AF9"/>
  </mergeCells>
  <printOptions/>
  <pageMargins left="1.3779527559055118" right="0.1968503937007874" top="0.1968503937007874" bottom="0.1968503937007874" header="0.5118110236220472" footer="0.5118110236220472"/>
  <pageSetup horizontalDpi="120" verticalDpi="120" orientation="landscape" paperSize="9" scale="90" r:id="rId1"/>
</worksheet>
</file>

<file path=xl/worksheets/sheet7.xml><?xml version="1.0" encoding="utf-8"?>
<worksheet xmlns="http://schemas.openxmlformats.org/spreadsheetml/2006/main" xmlns:r="http://schemas.openxmlformats.org/officeDocument/2006/relationships">
  <sheetPr codeName="Sheet5"/>
  <dimension ref="A2:AL59"/>
  <sheetViews>
    <sheetView workbookViewId="0" topLeftCell="A13">
      <selection activeCell="A3" sqref="A3"/>
    </sheetView>
  </sheetViews>
  <sheetFormatPr defaultColWidth="9.140625" defaultRowHeight="12.75"/>
  <cols>
    <col min="1" max="1" width="4.8515625" style="185" customWidth="1"/>
    <col min="2" max="2" width="26.421875" style="185" customWidth="1"/>
    <col min="3" max="3" width="8.140625" style="219" customWidth="1"/>
    <col min="4" max="4" width="13.421875" style="219" customWidth="1"/>
    <col min="5" max="5" width="8.421875" style="219" customWidth="1"/>
    <col min="6" max="6" width="16.57421875" style="185" customWidth="1"/>
    <col min="7" max="7" width="20.8515625" style="185" customWidth="1"/>
    <col min="8" max="15" width="12.28125" style="185" hidden="1" customWidth="1"/>
    <col min="16" max="16" width="12.421875" style="185" hidden="1" customWidth="1"/>
    <col min="17" max="17" width="12.28125" style="185" hidden="1" customWidth="1"/>
    <col min="18" max="19" width="24.421875" style="185" hidden="1" customWidth="1"/>
    <col min="20" max="25" width="12.421875" style="185" hidden="1" customWidth="1"/>
    <col min="26" max="26" width="11.57421875" style="185" customWidth="1"/>
    <col min="27" max="27" width="9.7109375" style="185" customWidth="1"/>
    <col min="28" max="28" width="7.7109375" style="185" customWidth="1"/>
    <col min="29" max="29" width="10.28125" style="185" customWidth="1"/>
    <col min="30" max="30" width="8.28125" style="185" customWidth="1"/>
    <col min="31" max="31" width="10.57421875" style="185" customWidth="1"/>
    <col min="32" max="32" width="11.57421875" style="185" customWidth="1"/>
    <col min="33" max="16384" width="9.140625" style="185" customWidth="1"/>
  </cols>
  <sheetData>
    <row r="2" spans="1:38" ht="12.75">
      <c r="A2" s="181" t="s">
        <v>0</v>
      </c>
      <c r="B2" s="181"/>
      <c r="C2" s="182"/>
      <c r="D2" s="182"/>
      <c r="E2" s="182"/>
      <c r="F2" s="181"/>
      <c r="G2" s="183"/>
      <c r="H2" s="183"/>
      <c r="I2" s="183"/>
      <c r="J2" s="183"/>
      <c r="K2" s="183"/>
      <c r="L2" s="183"/>
      <c r="M2" s="183"/>
      <c r="N2" s="183"/>
      <c r="O2" s="183"/>
      <c r="P2" s="183"/>
      <c r="Q2" s="183"/>
      <c r="R2" s="183"/>
      <c r="S2" s="183"/>
      <c r="T2" s="183"/>
      <c r="U2" s="183"/>
      <c r="V2" s="183"/>
      <c r="W2" s="183"/>
      <c r="X2" s="183"/>
      <c r="Y2" s="183"/>
      <c r="Z2" s="183"/>
      <c r="AA2" s="183"/>
      <c r="AB2" s="183"/>
      <c r="AC2" s="218"/>
      <c r="AD2" s="218"/>
      <c r="AE2" s="184" t="s">
        <v>2</v>
      </c>
      <c r="AF2" s="183"/>
      <c r="AH2" s="183"/>
      <c r="AI2" s="183"/>
      <c r="AJ2" s="183"/>
      <c r="AK2" s="183"/>
      <c r="AL2" s="183"/>
    </row>
    <row r="3" spans="1:38" ht="12.75">
      <c r="A3" s="183" t="s">
        <v>220</v>
      </c>
      <c r="B3" s="183"/>
      <c r="C3" s="184"/>
      <c r="D3" s="184"/>
      <c r="E3" s="184"/>
      <c r="F3" s="183" t="s">
        <v>533</v>
      </c>
      <c r="G3" s="183"/>
      <c r="H3" s="183"/>
      <c r="I3" s="183"/>
      <c r="J3" s="183"/>
      <c r="K3" s="183"/>
      <c r="L3" s="183"/>
      <c r="M3" s="183"/>
      <c r="N3" s="183"/>
      <c r="O3" s="183"/>
      <c r="P3" s="183"/>
      <c r="Q3" s="183"/>
      <c r="R3" s="183"/>
      <c r="S3" s="183"/>
      <c r="T3" s="183"/>
      <c r="U3" s="183"/>
      <c r="V3" s="183"/>
      <c r="W3" s="183"/>
      <c r="X3" s="183"/>
      <c r="Y3" s="183"/>
      <c r="Z3" s="183"/>
      <c r="AA3" s="183"/>
      <c r="AB3" s="183"/>
      <c r="AC3" s="218"/>
      <c r="AD3" s="218"/>
      <c r="AE3" s="184" t="s">
        <v>3</v>
      </c>
      <c r="AF3" s="183"/>
      <c r="AH3" s="183"/>
      <c r="AI3" s="183"/>
      <c r="AJ3" s="183"/>
      <c r="AK3" s="183"/>
      <c r="AL3" s="183"/>
    </row>
    <row r="4" spans="1:38" ht="12.75">
      <c r="A4" s="183"/>
      <c r="B4" s="183"/>
      <c r="C4" s="184"/>
      <c r="D4" s="184"/>
      <c r="E4" s="184"/>
      <c r="F4" s="183"/>
      <c r="G4" s="183" t="s">
        <v>1</v>
      </c>
      <c r="H4" s="183"/>
      <c r="I4" s="183"/>
      <c r="J4" s="183"/>
      <c r="K4" s="183"/>
      <c r="L4" s="183"/>
      <c r="M4" s="183"/>
      <c r="N4" s="183"/>
      <c r="O4" s="183"/>
      <c r="P4" s="183"/>
      <c r="Q4" s="183"/>
      <c r="R4" s="183"/>
      <c r="S4" s="183"/>
      <c r="T4" s="183"/>
      <c r="U4" s="183"/>
      <c r="V4" s="183"/>
      <c r="W4" s="183"/>
      <c r="X4" s="183"/>
      <c r="Y4" s="183"/>
      <c r="Z4" s="183"/>
      <c r="AA4" s="183"/>
      <c r="AB4" s="183"/>
      <c r="AC4" s="218"/>
      <c r="AD4" s="218"/>
      <c r="AE4" s="184" t="s">
        <v>247</v>
      </c>
      <c r="AF4" s="183"/>
      <c r="AH4" s="183"/>
      <c r="AI4" s="183"/>
      <c r="AJ4" s="183"/>
      <c r="AK4" s="183"/>
      <c r="AL4" s="183"/>
    </row>
    <row r="5" spans="1:38" ht="13.5" customHeight="1" thickBot="1">
      <c r="A5" s="182"/>
      <c r="B5" s="182"/>
      <c r="C5" s="182"/>
      <c r="D5" s="182"/>
      <c r="E5" s="182"/>
      <c r="F5" s="182" t="s">
        <v>532</v>
      </c>
      <c r="G5" s="183"/>
      <c r="H5" s="182"/>
      <c r="I5" s="182"/>
      <c r="J5" s="182"/>
      <c r="K5" s="182"/>
      <c r="L5" s="182"/>
      <c r="M5" s="182"/>
      <c r="N5" s="182"/>
      <c r="O5" s="182"/>
      <c r="P5" s="182"/>
      <c r="Q5" s="182"/>
      <c r="R5" s="182"/>
      <c r="S5" s="182"/>
      <c r="T5" s="182"/>
      <c r="U5" s="182"/>
      <c r="V5" s="182"/>
      <c r="W5" s="182"/>
      <c r="X5" s="182"/>
      <c r="Y5" s="182"/>
      <c r="Z5" s="347"/>
      <c r="AA5" s="182"/>
      <c r="AB5" s="182"/>
      <c r="AC5" s="347"/>
      <c r="AD5" s="182"/>
      <c r="AE5" s="182"/>
      <c r="AF5" s="182"/>
      <c r="AG5" s="183"/>
      <c r="AH5" s="183"/>
      <c r="AI5" s="183"/>
      <c r="AJ5" s="183"/>
      <c r="AK5" s="183"/>
      <c r="AL5" s="183"/>
    </row>
    <row r="6" spans="1:36" ht="13.5" customHeight="1" hidden="1" thickBot="1">
      <c r="A6" s="183"/>
      <c r="B6" s="183"/>
      <c r="C6" s="184"/>
      <c r="D6" s="184"/>
      <c r="E6" s="184"/>
      <c r="F6" s="183"/>
      <c r="G6" s="183"/>
      <c r="H6" s="183"/>
      <c r="I6" s="183"/>
      <c r="J6" s="183"/>
      <c r="K6" s="183"/>
      <c r="L6" s="183"/>
      <c r="M6" s="183"/>
      <c r="N6" s="183"/>
      <c r="O6" s="183"/>
      <c r="P6" s="183"/>
      <c r="Q6" s="183"/>
      <c r="R6" s="183"/>
      <c r="S6" s="183"/>
      <c r="T6" s="183"/>
      <c r="U6" s="183"/>
      <c r="V6" s="183"/>
      <c r="W6" s="183"/>
      <c r="X6" s="183"/>
      <c r="Y6" s="183"/>
      <c r="Z6" s="183"/>
      <c r="AA6" s="26"/>
      <c r="AB6" s="183"/>
      <c r="AD6" s="183"/>
      <c r="AE6" s="183"/>
      <c r="AF6" s="183"/>
      <c r="AI6" s="183"/>
      <c r="AJ6" s="183"/>
    </row>
    <row r="7" spans="1:36" s="196" customFormat="1" ht="13.5" thickBot="1">
      <c r="A7" s="186" t="s">
        <v>141</v>
      </c>
      <c r="B7" s="447" t="s">
        <v>5</v>
      </c>
      <c r="C7" s="451"/>
      <c r="D7" s="451"/>
      <c r="E7" s="451"/>
      <c r="F7" s="448"/>
      <c r="G7" s="188" t="s">
        <v>8</v>
      </c>
      <c r="H7" s="189" t="s">
        <v>17</v>
      </c>
      <c r="I7" s="189" t="s">
        <v>17</v>
      </c>
      <c r="J7" s="189" t="s">
        <v>17</v>
      </c>
      <c r="K7" s="189" t="s">
        <v>17</v>
      </c>
      <c r="L7" s="189" t="s">
        <v>178</v>
      </c>
      <c r="M7" s="189" t="s">
        <v>17</v>
      </c>
      <c r="N7" s="189" t="s">
        <v>169</v>
      </c>
      <c r="O7" s="189" t="s">
        <v>173</v>
      </c>
      <c r="P7" s="189" t="s">
        <v>178</v>
      </c>
      <c r="Q7" s="190" t="s">
        <v>178</v>
      </c>
      <c r="R7" s="187" t="s">
        <v>276</v>
      </c>
      <c r="S7" s="187" t="s">
        <v>276</v>
      </c>
      <c r="T7" s="191" t="s">
        <v>167</v>
      </c>
      <c r="U7" s="191" t="s">
        <v>178</v>
      </c>
      <c r="V7" s="191" t="s">
        <v>169</v>
      </c>
      <c r="W7" s="191" t="s">
        <v>318</v>
      </c>
      <c r="X7" s="191" t="s">
        <v>167</v>
      </c>
      <c r="Y7" s="188" t="s">
        <v>167</v>
      </c>
      <c r="Z7" s="188" t="s">
        <v>167</v>
      </c>
      <c r="AA7" s="247" t="s">
        <v>18</v>
      </c>
      <c r="AB7" s="194" t="s">
        <v>21</v>
      </c>
      <c r="AC7" s="193" t="s">
        <v>22</v>
      </c>
      <c r="AD7" s="447" t="s">
        <v>24</v>
      </c>
      <c r="AE7" s="448"/>
      <c r="AF7" s="194" t="s">
        <v>22</v>
      </c>
      <c r="AG7" s="195"/>
      <c r="AH7" s="195"/>
      <c r="AI7" s="195"/>
      <c r="AJ7" s="195"/>
    </row>
    <row r="8" spans="1:36" s="196" customFormat="1" ht="12.75">
      <c r="A8" s="197" t="s">
        <v>142</v>
      </c>
      <c r="B8" s="192" t="s">
        <v>6</v>
      </c>
      <c r="C8" s="192"/>
      <c r="D8" s="192"/>
      <c r="E8" s="192"/>
      <c r="F8" s="192" t="s">
        <v>7</v>
      </c>
      <c r="G8" s="198"/>
      <c r="H8" s="199"/>
      <c r="I8" s="199"/>
      <c r="J8" s="199"/>
      <c r="K8" s="199"/>
      <c r="L8" s="199" t="s">
        <v>170</v>
      </c>
      <c r="M8" s="199" t="s">
        <v>174</v>
      </c>
      <c r="N8" s="199"/>
      <c r="O8" s="199" t="s">
        <v>168</v>
      </c>
      <c r="P8" s="199" t="s">
        <v>168</v>
      </c>
      <c r="Q8" s="199" t="s">
        <v>231</v>
      </c>
      <c r="R8" s="200" t="s">
        <v>277</v>
      </c>
      <c r="S8" s="201" t="s">
        <v>319</v>
      </c>
      <c r="T8" s="201" t="s">
        <v>170</v>
      </c>
      <c r="U8" s="202" t="s">
        <v>251</v>
      </c>
      <c r="V8" s="201" t="s">
        <v>316</v>
      </c>
      <c r="W8" s="201" t="s">
        <v>168</v>
      </c>
      <c r="X8" s="201" t="s">
        <v>168</v>
      </c>
      <c r="Y8" s="201" t="s">
        <v>168</v>
      </c>
      <c r="Z8" s="201"/>
      <c r="AA8" s="251" t="s">
        <v>19</v>
      </c>
      <c r="AB8" s="203" t="s">
        <v>20</v>
      </c>
      <c r="AC8" s="253" t="s">
        <v>23</v>
      </c>
      <c r="AD8" s="254" t="s">
        <v>25</v>
      </c>
      <c r="AE8" s="255" t="s">
        <v>26</v>
      </c>
      <c r="AF8" s="203" t="s">
        <v>27</v>
      </c>
      <c r="AG8" s="195"/>
      <c r="AH8" s="195"/>
      <c r="AI8" s="195"/>
      <c r="AJ8" s="195"/>
    </row>
    <row r="9" spans="1:36" s="196" customFormat="1" ht="13.5" thickBot="1">
      <c r="A9" s="204"/>
      <c r="B9" s="205"/>
      <c r="C9" s="206" t="s">
        <v>335</v>
      </c>
      <c r="D9" s="206" t="s">
        <v>336</v>
      </c>
      <c r="E9" s="206" t="s">
        <v>364</v>
      </c>
      <c r="F9" s="205"/>
      <c r="G9" s="207"/>
      <c r="H9" s="205"/>
      <c r="I9" s="205"/>
      <c r="J9" s="205"/>
      <c r="K9" s="205"/>
      <c r="L9" s="205" t="s">
        <v>172</v>
      </c>
      <c r="M9" s="205" t="s">
        <v>175</v>
      </c>
      <c r="N9" s="205"/>
      <c r="O9" s="205" t="s">
        <v>172</v>
      </c>
      <c r="P9" s="205" t="s">
        <v>172</v>
      </c>
      <c r="Q9" s="205" t="s">
        <v>228</v>
      </c>
      <c r="R9" s="205"/>
      <c r="S9" s="208" t="s">
        <v>281</v>
      </c>
      <c r="T9" s="208">
        <v>2005</v>
      </c>
      <c r="U9" s="209">
        <v>2004</v>
      </c>
      <c r="V9" s="208" t="s">
        <v>317</v>
      </c>
      <c r="W9" s="208"/>
      <c r="X9" s="208">
        <v>2005</v>
      </c>
      <c r="Y9" s="208">
        <v>2005</v>
      </c>
      <c r="Z9" s="208"/>
      <c r="AA9" s="210"/>
      <c r="AB9" s="252">
        <v>0.15</v>
      </c>
      <c r="AC9" s="250"/>
      <c r="AD9" s="211"/>
      <c r="AE9" s="250"/>
      <c r="AF9" s="211"/>
      <c r="AG9" s="195"/>
      <c r="AH9" s="195"/>
      <c r="AI9" s="195"/>
      <c r="AJ9" s="195"/>
    </row>
    <row r="10" spans="1:36" ht="12.75">
      <c r="A10" s="183">
        <v>127</v>
      </c>
      <c r="B10" s="212" t="s">
        <v>338</v>
      </c>
      <c r="C10" s="184" t="s">
        <v>339</v>
      </c>
      <c r="D10" s="184" t="s">
        <v>340</v>
      </c>
      <c r="E10" s="184">
        <v>1</v>
      </c>
      <c r="F10" s="183" t="s">
        <v>214</v>
      </c>
      <c r="G10" s="183" t="s">
        <v>97</v>
      </c>
      <c r="H10" s="183">
        <v>4023000</v>
      </c>
      <c r="I10" s="184">
        <f>H10*1.0829</f>
        <v>4356506.7</v>
      </c>
      <c r="J10" s="184">
        <f>CEILING(I10*1.03,1000)</f>
        <v>4488000</v>
      </c>
      <c r="K10" s="184">
        <v>4993000</v>
      </c>
      <c r="L10" s="184">
        <v>8200000</v>
      </c>
      <c r="M10" s="184">
        <f>CEILING(K10*1.12,1000)</f>
        <v>5593000</v>
      </c>
      <c r="N10" s="213">
        <f>L10-M10</f>
        <v>2607000</v>
      </c>
      <c r="O10" s="183">
        <f>N10*0.38</f>
        <v>990660</v>
      </c>
      <c r="P10" s="183">
        <f>M10+O10</f>
        <v>6583660</v>
      </c>
      <c r="Q10" s="213" t="e">
        <f>CEILING(#REF!*1.06,1000)</f>
        <v>#REF!</v>
      </c>
      <c r="R10" s="213" t="s">
        <v>267</v>
      </c>
      <c r="S10" s="213" t="s">
        <v>297</v>
      </c>
      <c r="T10" s="213">
        <v>13158000</v>
      </c>
      <c r="U10" s="213">
        <v>11057000</v>
      </c>
      <c r="V10" s="213">
        <f>T10-U10</f>
        <v>2101000</v>
      </c>
      <c r="W10" s="213">
        <f>V10*45%</f>
        <v>945450</v>
      </c>
      <c r="X10" s="213">
        <f>SUM(U10,W10)</f>
        <v>12002450</v>
      </c>
      <c r="Y10" s="213">
        <f>ROUNDUP(X10,-3)</f>
        <v>12003000</v>
      </c>
      <c r="Z10" s="213">
        <v>1465</v>
      </c>
      <c r="AA10" s="213">
        <f>Z10*50%</f>
        <v>732.5</v>
      </c>
      <c r="AB10" s="213">
        <f>(Z10+AA10)*15%</f>
        <v>329.625</v>
      </c>
      <c r="AC10" s="213">
        <f>SUM(Z10:AB10)</f>
        <v>2527.125</v>
      </c>
      <c r="AD10" s="214">
        <v>0.25</v>
      </c>
      <c r="AE10" s="183">
        <f>AC10*AD10</f>
        <v>631.78125</v>
      </c>
      <c r="AF10" s="183">
        <f>SUM(AC10,AE10)</f>
        <v>3158.90625</v>
      </c>
      <c r="AG10" s="183"/>
      <c r="AH10" s="183"/>
      <c r="AI10" s="183"/>
      <c r="AJ10" s="183"/>
    </row>
    <row r="11" spans="1:36" ht="12.75">
      <c r="A11" s="183"/>
      <c r="B11" s="183"/>
      <c r="C11" s="184"/>
      <c r="D11" s="184"/>
      <c r="E11" s="184"/>
      <c r="F11" s="183"/>
      <c r="G11" s="183"/>
      <c r="H11" s="183"/>
      <c r="I11" s="183"/>
      <c r="J11" s="183"/>
      <c r="K11" s="213"/>
      <c r="L11" s="213"/>
      <c r="M11" s="184"/>
      <c r="N11" s="213"/>
      <c r="O11" s="183"/>
      <c r="P11" s="183"/>
      <c r="Q11" s="183"/>
      <c r="R11" s="183"/>
      <c r="S11" s="183"/>
      <c r="T11" s="183"/>
      <c r="U11" s="183"/>
      <c r="V11" s="213">
        <f aca="true" t="shared" si="0" ref="V11:V40">T11-U11</f>
        <v>0</v>
      </c>
      <c r="W11" s="213">
        <f aca="true" t="shared" si="1" ref="W11:W40">V11*45%</f>
        <v>0</v>
      </c>
      <c r="X11" s="213"/>
      <c r="Y11" s="213"/>
      <c r="Z11" s="213"/>
      <c r="AA11" s="183"/>
      <c r="AB11" s="183"/>
      <c r="AC11" s="183"/>
      <c r="AD11" s="183"/>
      <c r="AE11" s="183"/>
      <c r="AF11" s="183"/>
      <c r="AG11" s="183"/>
      <c r="AH11" s="183"/>
      <c r="AI11" s="183"/>
      <c r="AJ11" s="183"/>
    </row>
    <row r="12" spans="1:36" ht="12.75">
      <c r="A12" s="183"/>
      <c r="B12" s="450" t="s">
        <v>135</v>
      </c>
      <c r="C12" s="450"/>
      <c r="D12" s="450"/>
      <c r="E12" s="450"/>
      <c r="F12" s="450"/>
      <c r="G12" s="450"/>
      <c r="H12" s="183"/>
      <c r="I12" s="183"/>
      <c r="J12" s="183"/>
      <c r="K12" s="213"/>
      <c r="L12" s="213"/>
      <c r="M12" s="184"/>
      <c r="N12" s="213"/>
      <c r="O12" s="183"/>
      <c r="P12" s="183"/>
      <c r="Q12" s="183"/>
      <c r="R12" s="183"/>
      <c r="S12" s="183"/>
      <c r="T12" s="183"/>
      <c r="U12" s="183"/>
      <c r="V12" s="213">
        <f t="shared" si="0"/>
        <v>0</v>
      </c>
      <c r="W12" s="213">
        <f t="shared" si="1"/>
        <v>0</v>
      </c>
      <c r="X12" s="213"/>
      <c r="Y12" s="213"/>
      <c r="Z12" s="213"/>
      <c r="AA12" s="183"/>
      <c r="AB12" s="183"/>
      <c r="AC12" s="183"/>
      <c r="AD12" s="183"/>
      <c r="AE12" s="183"/>
      <c r="AF12" s="183"/>
      <c r="AG12" s="183"/>
      <c r="AH12" s="183"/>
      <c r="AI12" s="183"/>
      <c r="AJ12" s="183"/>
    </row>
    <row r="13" spans="1:36" ht="12.75">
      <c r="A13" s="183">
        <v>128</v>
      </c>
      <c r="B13" s="212" t="s">
        <v>338</v>
      </c>
      <c r="C13" s="184" t="s">
        <v>339</v>
      </c>
      <c r="D13" s="184" t="s">
        <v>340</v>
      </c>
      <c r="E13" s="184">
        <v>1</v>
      </c>
      <c r="F13" s="183" t="s">
        <v>33</v>
      </c>
      <c r="G13" s="261" t="s">
        <v>99</v>
      </c>
      <c r="H13" s="183">
        <v>4023000</v>
      </c>
      <c r="I13" s="184">
        <f aca="true" t="shared" si="2" ref="I13:I21">H13*1.0829</f>
        <v>4356506.7</v>
      </c>
      <c r="J13" s="184">
        <f aca="true" t="shared" si="3" ref="J13:J18">CEILING(I13*1.03,1000)</f>
        <v>4488000</v>
      </c>
      <c r="K13" s="213">
        <v>4993000</v>
      </c>
      <c r="L13" s="213">
        <v>8200000</v>
      </c>
      <c r="M13" s="184">
        <f>CEILING(K13*1.12,1000)</f>
        <v>5593000</v>
      </c>
      <c r="N13" s="213">
        <f aca="true" t="shared" si="4" ref="N13:N21">L13-M13</f>
        <v>2607000</v>
      </c>
      <c r="O13" s="183">
        <f aca="true" t="shared" si="5" ref="O13:O21">N13*0.38</f>
        <v>990660</v>
      </c>
      <c r="P13" s="183">
        <f aca="true" t="shared" si="6" ref="P13:P21">M13+O13</f>
        <v>6583660</v>
      </c>
      <c r="Q13" s="213" t="e">
        <f>CEILING(#REF!*1.06,1000)</f>
        <v>#REF!</v>
      </c>
      <c r="R13" s="213" t="s">
        <v>267</v>
      </c>
      <c r="S13" s="213" t="s">
        <v>297</v>
      </c>
      <c r="T13" s="213">
        <v>13158000</v>
      </c>
      <c r="U13" s="213">
        <v>11057000</v>
      </c>
      <c r="V13" s="213">
        <f t="shared" si="0"/>
        <v>2101000</v>
      </c>
      <c r="W13" s="213">
        <f t="shared" si="1"/>
        <v>945450</v>
      </c>
      <c r="X13" s="213">
        <f aca="true" t="shared" si="7" ref="X13:X40">SUM(U13,W13)</f>
        <v>12002450</v>
      </c>
      <c r="Y13" s="213">
        <f>ROUNDUP(X13,-3)</f>
        <v>12003000</v>
      </c>
      <c r="Z13" s="213">
        <v>1465</v>
      </c>
      <c r="AA13" s="213">
        <f>Z13*30%</f>
        <v>439.5</v>
      </c>
      <c r="AB13" s="183"/>
      <c r="AC13" s="213">
        <f>SUM(Z13:AB13)</f>
        <v>1904.5</v>
      </c>
      <c r="AD13" s="214">
        <v>0.25</v>
      </c>
      <c r="AE13" s="183">
        <f>AC13*AD13</f>
        <v>476.125</v>
      </c>
      <c r="AF13" s="183">
        <f>SUM(AC13,AE13)</f>
        <v>2380.625</v>
      </c>
      <c r="AG13" s="183"/>
      <c r="AH13" s="183"/>
      <c r="AI13" s="183"/>
      <c r="AJ13" s="183"/>
    </row>
    <row r="14" spans="1:36" ht="12.75">
      <c r="A14" s="183">
        <v>129</v>
      </c>
      <c r="B14" s="212" t="s">
        <v>338</v>
      </c>
      <c r="C14" s="184" t="s">
        <v>339</v>
      </c>
      <c r="D14" s="184" t="s">
        <v>340</v>
      </c>
      <c r="E14" s="184">
        <v>1</v>
      </c>
      <c r="F14" s="183"/>
      <c r="G14" s="183" t="s">
        <v>206</v>
      </c>
      <c r="H14" s="183">
        <v>4023000</v>
      </c>
      <c r="I14" s="184">
        <f t="shared" si="2"/>
        <v>4356506.7</v>
      </c>
      <c r="J14" s="184">
        <f t="shared" si="3"/>
        <v>4488000</v>
      </c>
      <c r="K14" s="213">
        <v>4993000</v>
      </c>
      <c r="L14" s="213">
        <v>4993000</v>
      </c>
      <c r="M14" s="184">
        <v>4993000</v>
      </c>
      <c r="N14" s="213">
        <f t="shared" si="4"/>
        <v>0</v>
      </c>
      <c r="O14" s="183">
        <f t="shared" si="5"/>
        <v>0</v>
      </c>
      <c r="P14" s="183">
        <f t="shared" si="6"/>
        <v>4993000</v>
      </c>
      <c r="Q14" s="213" t="e">
        <f>CEILING(#REF!*1.06,1000)</f>
        <v>#REF!</v>
      </c>
      <c r="R14" s="213" t="s">
        <v>267</v>
      </c>
      <c r="S14" s="213" t="s">
        <v>297</v>
      </c>
      <c r="T14" s="213">
        <v>13158000</v>
      </c>
      <c r="U14" s="213">
        <v>11057000</v>
      </c>
      <c r="V14" s="213">
        <f t="shared" si="0"/>
        <v>2101000</v>
      </c>
      <c r="W14" s="213">
        <f t="shared" si="1"/>
        <v>945450</v>
      </c>
      <c r="X14" s="213">
        <f t="shared" si="7"/>
        <v>12002450</v>
      </c>
      <c r="Y14" s="213">
        <f aca="true" t="shared" si="8" ref="Y14:Y28">ROUNDUP(X14,-3)</f>
        <v>12003000</v>
      </c>
      <c r="Z14" s="213">
        <v>1465</v>
      </c>
      <c r="AA14" s="183"/>
      <c r="AB14" s="183"/>
      <c r="AC14" s="213">
        <f aca="true" t="shared" si="9" ref="AC14:AC22">SUM(Z14:AB14)</f>
        <v>1465</v>
      </c>
      <c r="AD14" s="214">
        <v>0.2</v>
      </c>
      <c r="AE14" s="183">
        <f aca="true" t="shared" si="10" ref="AE14:AE22">AC14*AD14</f>
        <v>293</v>
      </c>
      <c r="AF14" s="183">
        <f aca="true" t="shared" si="11" ref="AF14:AF22">SUM(AC14,AE14)</f>
        <v>1758</v>
      </c>
      <c r="AG14" s="183"/>
      <c r="AH14" s="183"/>
      <c r="AI14" s="183"/>
      <c r="AJ14" s="183"/>
    </row>
    <row r="15" spans="1:36" ht="12.75">
      <c r="A15" s="183">
        <v>130</v>
      </c>
      <c r="B15" s="212" t="s">
        <v>338</v>
      </c>
      <c r="C15" s="184" t="s">
        <v>339</v>
      </c>
      <c r="D15" s="184" t="s">
        <v>340</v>
      </c>
      <c r="E15" s="184">
        <v>1</v>
      </c>
      <c r="F15" s="183"/>
      <c r="G15" s="183" t="s">
        <v>132</v>
      </c>
      <c r="H15" s="183">
        <v>4023000</v>
      </c>
      <c r="I15" s="184">
        <f t="shared" si="2"/>
        <v>4356506.7</v>
      </c>
      <c r="J15" s="184">
        <f t="shared" si="3"/>
        <v>4488000</v>
      </c>
      <c r="K15" s="213">
        <v>4993000</v>
      </c>
      <c r="L15" s="213">
        <v>8200000</v>
      </c>
      <c r="M15" s="184">
        <f aca="true" t="shared" si="12" ref="M15:M21">CEILING(K15*1.12,1000)</f>
        <v>5593000</v>
      </c>
      <c r="N15" s="213">
        <f t="shared" si="4"/>
        <v>2607000</v>
      </c>
      <c r="O15" s="183">
        <f t="shared" si="5"/>
        <v>990660</v>
      </c>
      <c r="P15" s="183">
        <f t="shared" si="6"/>
        <v>6583660</v>
      </c>
      <c r="Q15" s="213" t="e">
        <f>CEILING(#REF!*1.06,1000)</f>
        <v>#REF!</v>
      </c>
      <c r="R15" s="213" t="s">
        <v>267</v>
      </c>
      <c r="S15" s="213" t="s">
        <v>297</v>
      </c>
      <c r="T15" s="213">
        <v>13158000</v>
      </c>
      <c r="U15" s="213">
        <v>11057000</v>
      </c>
      <c r="V15" s="213">
        <f t="shared" si="0"/>
        <v>2101000</v>
      </c>
      <c r="W15" s="213">
        <f t="shared" si="1"/>
        <v>945450</v>
      </c>
      <c r="X15" s="213">
        <f t="shared" si="7"/>
        <v>12002450</v>
      </c>
      <c r="Y15" s="213">
        <f t="shared" si="8"/>
        <v>12003000</v>
      </c>
      <c r="Z15" s="213">
        <v>1465</v>
      </c>
      <c r="AA15" s="183"/>
      <c r="AB15" s="183"/>
      <c r="AC15" s="213">
        <f t="shared" si="9"/>
        <v>1465</v>
      </c>
      <c r="AD15" s="214">
        <v>0.25</v>
      </c>
      <c r="AE15" s="183">
        <f t="shared" si="10"/>
        <v>366.25</v>
      </c>
      <c r="AF15" s="183">
        <f t="shared" si="11"/>
        <v>1831.25</v>
      </c>
      <c r="AG15" s="183"/>
      <c r="AH15" s="183"/>
      <c r="AI15" s="183"/>
      <c r="AJ15" s="183"/>
    </row>
    <row r="16" spans="1:36" ht="12.75">
      <c r="A16" s="183">
        <v>131</v>
      </c>
      <c r="B16" s="212" t="s">
        <v>338</v>
      </c>
      <c r="C16" s="184" t="s">
        <v>339</v>
      </c>
      <c r="D16" s="184" t="s">
        <v>340</v>
      </c>
      <c r="E16" s="184">
        <v>3</v>
      </c>
      <c r="F16" s="183"/>
      <c r="G16" s="183" t="s">
        <v>217</v>
      </c>
      <c r="H16" s="183">
        <v>3556000</v>
      </c>
      <c r="I16" s="184">
        <f t="shared" si="2"/>
        <v>3850792.4</v>
      </c>
      <c r="J16" s="184">
        <f t="shared" si="3"/>
        <v>3967000</v>
      </c>
      <c r="K16" s="213">
        <v>4993000</v>
      </c>
      <c r="L16" s="213">
        <v>8200000</v>
      </c>
      <c r="M16" s="184">
        <f t="shared" si="12"/>
        <v>5593000</v>
      </c>
      <c r="N16" s="213">
        <f t="shared" si="4"/>
        <v>2607000</v>
      </c>
      <c r="O16" s="183">
        <f t="shared" si="5"/>
        <v>990660</v>
      </c>
      <c r="P16" s="183">
        <f t="shared" si="6"/>
        <v>6583660</v>
      </c>
      <c r="Q16" s="213" t="e">
        <f>CEILING(#REF!*1.06,1000)</f>
        <v>#REF!</v>
      </c>
      <c r="R16" s="213" t="s">
        <v>267</v>
      </c>
      <c r="S16" s="213" t="s">
        <v>297</v>
      </c>
      <c r="T16" s="213">
        <v>13158000</v>
      </c>
      <c r="U16" s="213">
        <v>11057000</v>
      </c>
      <c r="V16" s="213">
        <f t="shared" si="0"/>
        <v>2101000</v>
      </c>
      <c r="W16" s="213">
        <f t="shared" si="1"/>
        <v>945450</v>
      </c>
      <c r="X16" s="213">
        <f t="shared" si="7"/>
        <v>12002450</v>
      </c>
      <c r="Y16" s="213">
        <f t="shared" si="8"/>
        <v>12003000</v>
      </c>
      <c r="Z16" s="213">
        <v>1190</v>
      </c>
      <c r="AA16" s="183"/>
      <c r="AB16" s="183"/>
      <c r="AC16" s="213">
        <f t="shared" si="9"/>
        <v>1190</v>
      </c>
      <c r="AD16" s="214">
        <v>0.2</v>
      </c>
      <c r="AE16" s="183">
        <f t="shared" si="10"/>
        <v>238</v>
      </c>
      <c r="AF16" s="183">
        <f t="shared" si="11"/>
        <v>1428</v>
      </c>
      <c r="AG16" s="183"/>
      <c r="AH16" s="183"/>
      <c r="AI16" s="183"/>
      <c r="AJ16" s="183"/>
    </row>
    <row r="17" spans="1:36" ht="12.75">
      <c r="A17" s="183">
        <v>132</v>
      </c>
      <c r="B17" s="212" t="s">
        <v>338</v>
      </c>
      <c r="C17" s="184" t="s">
        <v>339</v>
      </c>
      <c r="D17" s="184" t="s">
        <v>340</v>
      </c>
      <c r="E17" s="184">
        <v>1</v>
      </c>
      <c r="F17" s="183"/>
      <c r="G17" s="183" t="s">
        <v>212</v>
      </c>
      <c r="H17" s="183">
        <v>3556000</v>
      </c>
      <c r="I17" s="184">
        <f t="shared" si="2"/>
        <v>3850792.4</v>
      </c>
      <c r="J17" s="184">
        <f t="shared" si="3"/>
        <v>3967000</v>
      </c>
      <c r="K17" s="213">
        <v>4993000</v>
      </c>
      <c r="L17" s="213">
        <v>8200000</v>
      </c>
      <c r="M17" s="184">
        <f t="shared" si="12"/>
        <v>5593000</v>
      </c>
      <c r="N17" s="213">
        <f t="shared" si="4"/>
        <v>2607000</v>
      </c>
      <c r="O17" s="183">
        <f t="shared" si="5"/>
        <v>990660</v>
      </c>
      <c r="P17" s="183">
        <f t="shared" si="6"/>
        <v>6583660</v>
      </c>
      <c r="Q17" s="213" t="e">
        <f>CEILING(#REF!*1.06,1000)</f>
        <v>#REF!</v>
      </c>
      <c r="R17" s="213" t="s">
        <v>267</v>
      </c>
      <c r="S17" s="213" t="s">
        <v>297</v>
      </c>
      <c r="T17" s="213">
        <v>13158000</v>
      </c>
      <c r="U17" s="213">
        <v>11057000</v>
      </c>
      <c r="V17" s="213">
        <f t="shared" si="0"/>
        <v>2101000</v>
      </c>
      <c r="W17" s="213">
        <f t="shared" si="1"/>
        <v>945450</v>
      </c>
      <c r="X17" s="213">
        <f t="shared" si="7"/>
        <v>12002450</v>
      </c>
      <c r="Y17" s="213">
        <f t="shared" si="8"/>
        <v>12003000</v>
      </c>
      <c r="Z17" s="213">
        <v>1465</v>
      </c>
      <c r="AA17" s="183"/>
      <c r="AB17" s="183"/>
      <c r="AC17" s="213">
        <f t="shared" si="9"/>
        <v>1465</v>
      </c>
      <c r="AD17" s="214">
        <v>0.25</v>
      </c>
      <c r="AE17" s="183">
        <f t="shared" si="10"/>
        <v>366.25</v>
      </c>
      <c r="AF17" s="183">
        <f t="shared" si="11"/>
        <v>1831.25</v>
      </c>
      <c r="AG17" s="183"/>
      <c r="AH17" s="183"/>
      <c r="AI17" s="183"/>
      <c r="AJ17" s="183"/>
    </row>
    <row r="18" spans="1:36" ht="12.75">
      <c r="A18" s="183">
        <v>133</v>
      </c>
      <c r="B18" s="212" t="s">
        <v>422</v>
      </c>
      <c r="C18" s="184" t="s">
        <v>353</v>
      </c>
      <c r="D18" s="184" t="s">
        <v>340</v>
      </c>
      <c r="E18" s="184">
        <v>1</v>
      </c>
      <c r="F18" s="183"/>
      <c r="G18" s="183" t="s">
        <v>103</v>
      </c>
      <c r="H18" s="183">
        <v>2857000</v>
      </c>
      <c r="I18" s="184">
        <f t="shared" si="2"/>
        <v>3093845.3</v>
      </c>
      <c r="J18" s="184">
        <f t="shared" si="3"/>
        <v>3187000</v>
      </c>
      <c r="K18" s="213">
        <v>3546000</v>
      </c>
      <c r="L18" s="213">
        <v>7405000</v>
      </c>
      <c r="M18" s="184">
        <f t="shared" si="12"/>
        <v>3972000</v>
      </c>
      <c r="N18" s="213">
        <f t="shared" si="4"/>
        <v>3433000</v>
      </c>
      <c r="O18" s="183">
        <f t="shared" si="5"/>
        <v>1304540</v>
      </c>
      <c r="P18" s="183">
        <f t="shared" si="6"/>
        <v>5276540</v>
      </c>
      <c r="Q18" s="213" t="e">
        <f>CEILING(#REF!*1.06,1000)</f>
        <v>#REF!</v>
      </c>
      <c r="R18" s="213" t="s">
        <v>268</v>
      </c>
      <c r="S18" s="213" t="s">
        <v>305</v>
      </c>
      <c r="T18" s="213">
        <v>11289000</v>
      </c>
      <c r="U18" s="213">
        <v>9902000</v>
      </c>
      <c r="V18" s="213">
        <f t="shared" si="0"/>
        <v>1387000</v>
      </c>
      <c r="W18" s="213">
        <f t="shared" si="1"/>
        <v>624150</v>
      </c>
      <c r="X18" s="213">
        <f t="shared" si="7"/>
        <v>10526150</v>
      </c>
      <c r="Y18" s="213">
        <f t="shared" si="8"/>
        <v>10527000</v>
      </c>
      <c r="Z18" s="213">
        <v>1258</v>
      </c>
      <c r="AA18" s="183"/>
      <c r="AB18" s="213"/>
      <c r="AC18" s="213">
        <f t="shared" si="9"/>
        <v>1258</v>
      </c>
      <c r="AD18" s="214">
        <v>0.25</v>
      </c>
      <c r="AE18" s="183">
        <f t="shared" si="10"/>
        <v>314.5</v>
      </c>
      <c r="AF18" s="183">
        <f t="shared" si="11"/>
        <v>1572.5</v>
      </c>
      <c r="AG18" s="183"/>
      <c r="AH18" s="183"/>
      <c r="AI18" s="183"/>
      <c r="AJ18" s="183"/>
    </row>
    <row r="19" spans="1:36" ht="12.75">
      <c r="A19" s="183">
        <v>134</v>
      </c>
      <c r="B19" s="212" t="s">
        <v>422</v>
      </c>
      <c r="C19" s="184" t="s">
        <v>353</v>
      </c>
      <c r="D19" s="184" t="s">
        <v>340</v>
      </c>
      <c r="E19" s="184">
        <v>1</v>
      </c>
      <c r="F19" s="183"/>
      <c r="G19" s="183" t="s">
        <v>156</v>
      </c>
      <c r="H19" s="183">
        <v>2795000</v>
      </c>
      <c r="I19" s="184">
        <f t="shared" si="2"/>
        <v>3026705.5</v>
      </c>
      <c r="J19" s="184">
        <v>3187000</v>
      </c>
      <c r="K19" s="213">
        <v>3546000</v>
      </c>
      <c r="L19" s="213">
        <v>7405000</v>
      </c>
      <c r="M19" s="184">
        <f t="shared" si="12"/>
        <v>3972000</v>
      </c>
      <c r="N19" s="213">
        <f t="shared" si="4"/>
        <v>3433000</v>
      </c>
      <c r="O19" s="183">
        <f t="shared" si="5"/>
        <v>1304540</v>
      </c>
      <c r="P19" s="183">
        <f t="shared" si="6"/>
        <v>5276540</v>
      </c>
      <c r="Q19" s="213" t="e">
        <f>CEILING(#REF!*1.06,1000)</f>
        <v>#REF!</v>
      </c>
      <c r="R19" s="213" t="s">
        <v>268</v>
      </c>
      <c r="S19" s="213" t="s">
        <v>305</v>
      </c>
      <c r="T19" s="213">
        <v>11289000</v>
      </c>
      <c r="U19" s="213">
        <v>9902000</v>
      </c>
      <c r="V19" s="213">
        <f t="shared" si="0"/>
        <v>1387000</v>
      </c>
      <c r="W19" s="213">
        <f t="shared" si="1"/>
        <v>624150</v>
      </c>
      <c r="X19" s="213">
        <f t="shared" si="7"/>
        <v>10526150</v>
      </c>
      <c r="Y19" s="213">
        <f t="shared" si="8"/>
        <v>10527000</v>
      </c>
      <c r="Z19" s="213">
        <v>1258</v>
      </c>
      <c r="AA19" s="183"/>
      <c r="AB19" s="213">
        <f>(Z19+AA19)*15%</f>
        <v>188.7</v>
      </c>
      <c r="AC19" s="213">
        <f t="shared" si="9"/>
        <v>1446.7</v>
      </c>
      <c r="AD19" s="214">
        <v>0.25</v>
      </c>
      <c r="AE19" s="183">
        <f t="shared" si="10"/>
        <v>361.675</v>
      </c>
      <c r="AF19" s="183">
        <f t="shared" si="11"/>
        <v>1808.375</v>
      </c>
      <c r="AG19" s="183"/>
      <c r="AH19" s="183"/>
      <c r="AI19" s="183"/>
      <c r="AJ19" s="183"/>
    </row>
    <row r="20" spans="1:36" ht="12.75">
      <c r="A20" s="183">
        <v>135</v>
      </c>
      <c r="B20" s="212" t="s">
        <v>422</v>
      </c>
      <c r="C20" s="184" t="s">
        <v>353</v>
      </c>
      <c r="D20" s="184" t="s">
        <v>340</v>
      </c>
      <c r="E20" s="184">
        <v>1</v>
      </c>
      <c r="F20" s="183"/>
      <c r="G20" s="183" t="s">
        <v>111</v>
      </c>
      <c r="H20" s="183">
        <v>2857000</v>
      </c>
      <c r="I20" s="184">
        <f t="shared" si="2"/>
        <v>3093845.3</v>
      </c>
      <c r="J20" s="184">
        <f>CEILING(I20*1.03,1000)</f>
        <v>3187000</v>
      </c>
      <c r="K20" s="213">
        <v>3546000</v>
      </c>
      <c r="L20" s="213">
        <v>7405000</v>
      </c>
      <c r="M20" s="184">
        <f t="shared" si="12"/>
        <v>3972000</v>
      </c>
      <c r="N20" s="213">
        <f t="shared" si="4"/>
        <v>3433000</v>
      </c>
      <c r="O20" s="183">
        <f t="shared" si="5"/>
        <v>1304540</v>
      </c>
      <c r="P20" s="183">
        <f t="shared" si="6"/>
        <v>5276540</v>
      </c>
      <c r="Q20" s="213" t="e">
        <f>CEILING(#REF!*1.06,1000)</f>
        <v>#REF!</v>
      </c>
      <c r="R20" s="213" t="s">
        <v>268</v>
      </c>
      <c r="S20" s="213" t="s">
        <v>305</v>
      </c>
      <c r="T20" s="213">
        <v>11289000</v>
      </c>
      <c r="U20" s="213">
        <v>9902000</v>
      </c>
      <c r="V20" s="213">
        <f t="shared" si="0"/>
        <v>1387000</v>
      </c>
      <c r="W20" s="213">
        <f t="shared" si="1"/>
        <v>624150</v>
      </c>
      <c r="X20" s="213">
        <f t="shared" si="7"/>
        <v>10526150</v>
      </c>
      <c r="Y20" s="213">
        <f t="shared" si="8"/>
        <v>10527000</v>
      </c>
      <c r="Z20" s="213">
        <v>1258</v>
      </c>
      <c r="AA20" s="183"/>
      <c r="AB20" s="213">
        <f>(Z20+AA20)*15%</f>
        <v>188.7</v>
      </c>
      <c r="AC20" s="213">
        <f t="shared" si="9"/>
        <v>1446.7</v>
      </c>
      <c r="AD20" s="214">
        <v>0.25</v>
      </c>
      <c r="AE20" s="183">
        <f t="shared" si="10"/>
        <v>361.675</v>
      </c>
      <c r="AF20" s="183">
        <f t="shared" si="11"/>
        <v>1808.375</v>
      </c>
      <c r="AG20" s="183"/>
      <c r="AH20" s="183"/>
      <c r="AI20" s="183"/>
      <c r="AJ20" s="183"/>
    </row>
    <row r="21" spans="1:36" ht="12.75">
      <c r="A21" s="183">
        <v>136</v>
      </c>
      <c r="B21" s="212" t="s">
        <v>422</v>
      </c>
      <c r="C21" s="184" t="s">
        <v>353</v>
      </c>
      <c r="D21" s="184" t="s">
        <v>340</v>
      </c>
      <c r="E21" s="184">
        <v>1</v>
      </c>
      <c r="F21" s="183"/>
      <c r="G21" s="183" t="s">
        <v>104</v>
      </c>
      <c r="H21" s="183">
        <v>2857000</v>
      </c>
      <c r="I21" s="184">
        <f t="shared" si="2"/>
        <v>3093845.3</v>
      </c>
      <c r="J21" s="184">
        <f>CEILING(I21*1.03,1000)</f>
        <v>3187000</v>
      </c>
      <c r="K21" s="213">
        <v>3546000</v>
      </c>
      <c r="L21" s="213">
        <v>7405000</v>
      </c>
      <c r="M21" s="184">
        <f t="shared" si="12"/>
        <v>3972000</v>
      </c>
      <c r="N21" s="213">
        <f t="shared" si="4"/>
        <v>3433000</v>
      </c>
      <c r="O21" s="183">
        <f t="shared" si="5"/>
        <v>1304540</v>
      </c>
      <c r="P21" s="183">
        <f t="shared" si="6"/>
        <v>5276540</v>
      </c>
      <c r="Q21" s="213" t="e">
        <f>CEILING(#REF!*1.06,1000)</f>
        <v>#REF!</v>
      </c>
      <c r="R21" s="213" t="s">
        <v>268</v>
      </c>
      <c r="S21" s="213" t="s">
        <v>305</v>
      </c>
      <c r="T21" s="213">
        <v>11289000</v>
      </c>
      <c r="U21" s="213">
        <v>9902000</v>
      </c>
      <c r="V21" s="213">
        <f t="shared" si="0"/>
        <v>1387000</v>
      </c>
      <c r="W21" s="213">
        <f t="shared" si="1"/>
        <v>624150</v>
      </c>
      <c r="X21" s="213">
        <f t="shared" si="7"/>
        <v>10526150</v>
      </c>
      <c r="Y21" s="213">
        <f t="shared" si="8"/>
        <v>10527000</v>
      </c>
      <c r="Z21" s="213">
        <v>1258</v>
      </c>
      <c r="AA21" s="183"/>
      <c r="AB21" s="183"/>
      <c r="AC21" s="213">
        <f t="shared" si="9"/>
        <v>1258</v>
      </c>
      <c r="AD21" s="214">
        <v>0.25</v>
      </c>
      <c r="AE21" s="183">
        <f t="shared" si="10"/>
        <v>314.5</v>
      </c>
      <c r="AF21" s="183">
        <f t="shared" si="11"/>
        <v>1572.5</v>
      </c>
      <c r="AG21" s="183"/>
      <c r="AH21" s="183"/>
      <c r="AI21" s="183"/>
      <c r="AJ21" s="183"/>
    </row>
    <row r="22" spans="1:36" ht="12.75">
      <c r="A22" s="183">
        <v>137</v>
      </c>
      <c r="B22" s="212" t="s">
        <v>338</v>
      </c>
      <c r="C22" s="184" t="s">
        <v>339</v>
      </c>
      <c r="D22" s="184" t="s">
        <v>343</v>
      </c>
      <c r="E22" s="184">
        <v>3</v>
      </c>
      <c r="F22" s="183"/>
      <c r="G22" s="183" t="s">
        <v>120</v>
      </c>
      <c r="H22" s="183">
        <v>2449000</v>
      </c>
      <c r="I22" s="184">
        <f>H22*1.0829</f>
        <v>2652022.1</v>
      </c>
      <c r="J22" s="184">
        <f>CEILING(I22*1.03,1000)</f>
        <v>2732000</v>
      </c>
      <c r="K22" s="213">
        <v>3257000</v>
      </c>
      <c r="L22" s="213">
        <v>4532000</v>
      </c>
      <c r="M22" s="184">
        <f>CEILING(K22*1.12,1000)</f>
        <v>3648000</v>
      </c>
      <c r="N22" s="213">
        <f>L22-M22</f>
        <v>884000</v>
      </c>
      <c r="O22" s="183">
        <f>N22*0.38</f>
        <v>335920</v>
      </c>
      <c r="P22" s="183">
        <f>M22+O22</f>
        <v>3983920</v>
      </c>
      <c r="Q22" s="213" t="e">
        <f>CEILING(#REF!*1.06,1000)</f>
        <v>#REF!</v>
      </c>
      <c r="R22" s="213" t="s">
        <v>258</v>
      </c>
      <c r="S22" s="213" t="s">
        <v>293</v>
      </c>
      <c r="T22" s="213">
        <v>7201000</v>
      </c>
      <c r="U22" s="213">
        <v>6316000</v>
      </c>
      <c r="V22" s="213">
        <f>T22-U22</f>
        <v>885000</v>
      </c>
      <c r="W22" s="213">
        <f>V22*45%</f>
        <v>398250</v>
      </c>
      <c r="X22" s="213">
        <f>SUM(U22,W22)</f>
        <v>6714250</v>
      </c>
      <c r="Y22" s="213">
        <f>ROUNDUP(X22,-3)</f>
        <v>6715000</v>
      </c>
      <c r="Z22" s="213">
        <v>887</v>
      </c>
      <c r="AA22" s="183"/>
      <c r="AB22" s="213"/>
      <c r="AC22" s="213">
        <f t="shared" si="9"/>
        <v>887</v>
      </c>
      <c r="AD22" s="214">
        <v>0.15</v>
      </c>
      <c r="AE22" s="183">
        <f t="shared" si="10"/>
        <v>133.04999999999998</v>
      </c>
      <c r="AF22" s="183">
        <f t="shared" si="11"/>
        <v>1020.05</v>
      </c>
      <c r="AG22" s="183"/>
      <c r="AH22" s="183"/>
      <c r="AI22" s="183"/>
      <c r="AJ22" s="183"/>
    </row>
    <row r="23" spans="1:36" ht="12.75">
      <c r="A23" s="183"/>
      <c r="B23" s="212"/>
      <c r="C23" s="184"/>
      <c r="D23" s="184"/>
      <c r="E23" s="184"/>
      <c r="F23" s="183"/>
      <c r="G23" s="183"/>
      <c r="H23" s="183"/>
      <c r="I23" s="184"/>
      <c r="J23" s="184"/>
      <c r="K23" s="213"/>
      <c r="L23" s="213"/>
      <c r="M23" s="184"/>
      <c r="N23" s="213"/>
      <c r="O23" s="183"/>
      <c r="P23" s="183"/>
      <c r="Q23" s="213"/>
      <c r="R23" s="213"/>
      <c r="S23" s="213"/>
      <c r="T23" s="213"/>
      <c r="U23" s="213"/>
      <c r="V23" s="213"/>
      <c r="W23" s="213"/>
      <c r="X23" s="213"/>
      <c r="Y23" s="213"/>
      <c r="Z23" s="213"/>
      <c r="AA23" s="183"/>
      <c r="AB23" s="183"/>
      <c r="AC23" s="183"/>
      <c r="AD23" s="214"/>
      <c r="AE23" s="183"/>
      <c r="AF23" s="183"/>
      <c r="AG23" s="183"/>
      <c r="AH23" s="183"/>
      <c r="AI23" s="183"/>
      <c r="AJ23" s="183"/>
    </row>
    <row r="24" spans="1:36" ht="12.75">
      <c r="A24" s="183"/>
      <c r="B24" s="450" t="s">
        <v>386</v>
      </c>
      <c r="C24" s="450"/>
      <c r="D24" s="450"/>
      <c r="E24" s="450"/>
      <c r="F24" s="450"/>
      <c r="G24" s="450"/>
      <c r="H24" s="450"/>
      <c r="I24" s="450"/>
      <c r="J24" s="450"/>
      <c r="K24" s="450"/>
      <c r="L24" s="212"/>
      <c r="M24" s="184"/>
      <c r="N24" s="213"/>
      <c r="O24" s="183"/>
      <c r="P24" s="183"/>
      <c r="Q24" s="183"/>
      <c r="R24" s="183"/>
      <c r="S24" s="183"/>
      <c r="T24" s="183"/>
      <c r="U24" s="183"/>
      <c r="V24" s="213">
        <f t="shared" si="0"/>
        <v>0</v>
      </c>
      <c r="W24" s="213">
        <f t="shared" si="1"/>
        <v>0</v>
      </c>
      <c r="X24" s="213"/>
      <c r="Y24" s="213"/>
      <c r="Z24" s="213"/>
      <c r="AA24" s="183"/>
      <c r="AB24" s="183"/>
      <c r="AC24" s="183"/>
      <c r="AD24" s="183"/>
      <c r="AE24" s="183"/>
      <c r="AF24" s="183"/>
      <c r="AG24" s="183"/>
      <c r="AH24" s="183"/>
      <c r="AI24" s="183"/>
      <c r="AJ24" s="183"/>
    </row>
    <row r="25" spans="1:36" ht="12.75">
      <c r="A25" s="183">
        <v>138</v>
      </c>
      <c r="B25" s="212" t="s">
        <v>338</v>
      </c>
      <c r="C25" s="184" t="s">
        <v>339</v>
      </c>
      <c r="D25" s="184" t="s">
        <v>340</v>
      </c>
      <c r="E25" s="184">
        <v>1</v>
      </c>
      <c r="F25" s="183"/>
      <c r="G25" s="183" t="s">
        <v>110</v>
      </c>
      <c r="H25" s="183">
        <v>4023000</v>
      </c>
      <c r="I25" s="184">
        <f>H25*1.0829</f>
        <v>4356506.7</v>
      </c>
      <c r="J25" s="184">
        <f>CEILING(I25*1.03,1000)</f>
        <v>4488000</v>
      </c>
      <c r="K25" s="213">
        <v>4993000</v>
      </c>
      <c r="L25" s="213">
        <v>8200000</v>
      </c>
      <c r="M25" s="184">
        <f>CEILING(K25*1.12,1000)</f>
        <v>5593000</v>
      </c>
      <c r="N25" s="213">
        <f>L25-M25</f>
        <v>2607000</v>
      </c>
      <c r="O25" s="183">
        <f>N25*0.38</f>
        <v>990660</v>
      </c>
      <c r="P25" s="183">
        <f>M25+O25</f>
        <v>6583660</v>
      </c>
      <c r="Q25" s="213" t="e">
        <f>CEILING(#REF!*1.06,1000)</f>
        <v>#REF!</v>
      </c>
      <c r="R25" s="213" t="s">
        <v>267</v>
      </c>
      <c r="S25" s="213" t="s">
        <v>297</v>
      </c>
      <c r="T25" s="213">
        <v>13158000</v>
      </c>
      <c r="U25" s="213">
        <v>11057000</v>
      </c>
      <c r="V25" s="213">
        <f t="shared" si="0"/>
        <v>2101000</v>
      </c>
      <c r="W25" s="213">
        <f t="shared" si="1"/>
        <v>945450</v>
      </c>
      <c r="X25" s="213">
        <f t="shared" si="7"/>
        <v>12002450</v>
      </c>
      <c r="Y25" s="213">
        <f t="shared" si="8"/>
        <v>12003000</v>
      </c>
      <c r="Z25" s="213">
        <v>1465</v>
      </c>
      <c r="AA25" s="213"/>
      <c r="AB25" s="183"/>
      <c r="AC25" s="213">
        <f aca="true" t="shared" si="13" ref="AC25:AC30">SUM(Z25:AB25)</f>
        <v>1465</v>
      </c>
      <c r="AD25" s="214">
        <v>0.25</v>
      </c>
      <c r="AE25" s="183">
        <f aca="true" t="shared" si="14" ref="AE25:AE30">AC25*AD25</f>
        <v>366.25</v>
      </c>
      <c r="AF25" s="183">
        <f aca="true" t="shared" si="15" ref="AF25:AF30">SUM(AC25,AE25)</f>
        <v>1831.25</v>
      </c>
      <c r="AG25" s="183"/>
      <c r="AH25" s="183"/>
      <c r="AI25" s="183"/>
      <c r="AJ25" s="183"/>
    </row>
    <row r="26" spans="1:36" ht="12.75">
      <c r="A26" s="183">
        <v>139</v>
      </c>
      <c r="B26" s="212" t="s">
        <v>338</v>
      </c>
      <c r="C26" s="184" t="s">
        <v>339</v>
      </c>
      <c r="D26" s="184" t="s">
        <v>340</v>
      </c>
      <c r="E26" s="184">
        <v>1</v>
      </c>
      <c r="F26" s="183"/>
      <c r="G26" s="183" t="s">
        <v>131</v>
      </c>
      <c r="H26" s="183">
        <v>4023000</v>
      </c>
      <c r="I26" s="184">
        <f>H26*1.0829</f>
        <v>4356506.7</v>
      </c>
      <c r="J26" s="184">
        <f>CEILING(I26*1.03,1000)</f>
        <v>4488000</v>
      </c>
      <c r="K26" s="213">
        <v>4993000</v>
      </c>
      <c r="L26" s="213">
        <v>8200000</v>
      </c>
      <c r="M26" s="184">
        <f>CEILING(K26*1.12,1000)</f>
        <v>5593000</v>
      </c>
      <c r="N26" s="213">
        <f>L26-M26</f>
        <v>2607000</v>
      </c>
      <c r="O26" s="183">
        <f>N26*0.38</f>
        <v>990660</v>
      </c>
      <c r="P26" s="183">
        <f>M26+O26</f>
        <v>6583660</v>
      </c>
      <c r="Q26" s="213" t="e">
        <f>CEILING(#REF!*1.06,1000)</f>
        <v>#REF!</v>
      </c>
      <c r="R26" s="213" t="s">
        <v>267</v>
      </c>
      <c r="S26" s="213" t="s">
        <v>297</v>
      </c>
      <c r="T26" s="213">
        <v>13158000</v>
      </c>
      <c r="U26" s="213">
        <v>11057000</v>
      </c>
      <c r="V26" s="213">
        <f t="shared" si="0"/>
        <v>2101000</v>
      </c>
      <c r="W26" s="213">
        <f t="shared" si="1"/>
        <v>945450</v>
      </c>
      <c r="X26" s="213">
        <f t="shared" si="7"/>
        <v>12002450</v>
      </c>
      <c r="Y26" s="213">
        <f t="shared" si="8"/>
        <v>12003000</v>
      </c>
      <c r="Z26" s="213">
        <v>1465</v>
      </c>
      <c r="AA26" s="183"/>
      <c r="AB26" s="183"/>
      <c r="AC26" s="213">
        <f t="shared" si="13"/>
        <v>1465</v>
      </c>
      <c r="AD26" s="214">
        <v>0.25</v>
      </c>
      <c r="AE26" s="183">
        <f t="shared" si="14"/>
        <v>366.25</v>
      </c>
      <c r="AF26" s="183">
        <f t="shared" si="15"/>
        <v>1831.25</v>
      </c>
      <c r="AG26" s="183"/>
      <c r="AH26" s="183"/>
      <c r="AI26" s="183"/>
      <c r="AJ26" s="183"/>
    </row>
    <row r="27" spans="1:36" ht="12.75">
      <c r="A27" s="183">
        <v>140</v>
      </c>
      <c r="B27" s="212" t="s">
        <v>338</v>
      </c>
      <c r="C27" s="184" t="s">
        <v>339</v>
      </c>
      <c r="D27" s="184" t="s">
        <v>340</v>
      </c>
      <c r="E27" s="184">
        <v>1</v>
      </c>
      <c r="F27" s="183"/>
      <c r="G27" s="183" t="s">
        <v>387</v>
      </c>
      <c r="H27" s="183">
        <v>3089000</v>
      </c>
      <c r="I27" s="184">
        <f>H27*1.0829</f>
        <v>3345078.1</v>
      </c>
      <c r="J27" s="184">
        <f>CEILING(I27*1.03,1000)</f>
        <v>3446000</v>
      </c>
      <c r="K27" s="213">
        <v>4414000</v>
      </c>
      <c r="L27" s="213">
        <v>7405000</v>
      </c>
      <c r="M27" s="184">
        <f>CEILING(K27*1.12,1000)</f>
        <v>4944000</v>
      </c>
      <c r="N27" s="213">
        <f>L27-M27</f>
        <v>2461000</v>
      </c>
      <c r="O27" s="183">
        <f>N27*0.38</f>
        <v>935180</v>
      </c>
      <c r="P27" s="183">
        <f>M27+O27</f>
        <v>5879180</v>
      </c>
      <c r="Q27" s="213" t="e">
        <f>CEILING(#REF!*1.06,1000)</f>
        <v>#REF!</v>
      </c>
      <c r="R27" s="213" t="s">
        <v>270</v>
      </c>
      <c r="S27" s="213" t="s">
        <v>300</v>
      </c>
      <c r="T27" s="213">
        <v>11784000</v>
      </c>
      <c r="U27" s="213">
        <v>9902000</v>
      </c>
      <c r="V27" s="213">
        <f t="shared" si="0"/>
        <v>1882000</v>
      </c>
      <c r="W27" s="213">
        <f t="shared" si="1"/>
        <v>846900</v>
      </c>
      <c r="X27" s="213">
        <f t="shared" si="7"/>
        <v>10748900</v>
      </c>
      <c r="Y27" s="213">
        <f t="shared" si="8"/>
        <v>10749000</v>
      </c>
      <c r="Z27" s="213">
        <v>1465</v>
      </c>
      <c r="AA27" s="183"/>
      <c r="AB27" s="213">
        <f>(Z27+AA27)*15%</f>
        <v>219.75</v>
      </c>
      <c r="AC27" s="213">
        <f t="shared" si="13"/>
        <v>1684.75</v>
      </c>
      <c r="AD27" s="214">
        <v>0.1</v>
      </c>
      <c r="AE27" s="183">
        <f t="shared" si="14"/>
        <v>168.47500000000002</v>
      </c>
      <c r="AF27" s="183">
        <f t="shared" si="15"/>
        <v>1853.225</v>
      </c>
      <c r="AG27" s="183"/>
      <c r="AH27" s="183"/>
      <c r="AI27" s="183"/>
      <c r="AJ27" s="183"/>
    </row>
    <row r="28" spans="1:36" ht="12.75">
      <c r="A28" s="183">
        <v>141</v>
      </c>
      <c r="B28" s="212" t="s">
        <v>346</v>
      </c>
      <c r="C28" s="184" t="s">
        <v>345</v>
      </c>
      <c r="D28" s="184" t="s">
        <v>340</v>
      </c>
      <c r="E28" s="184">
        <v>1</v>
      </c>
      <c r="F28" s="183"/>
      <c r="G28" s="183" t="s">
        <v>112</v>
      </c>
      <c r="H28" s="183">
        <v>2624000</v>
      </c>
      <c r="I28" s="184">
        <f>H28*1.0829</f>
        <v>2841529.6</v>
      </c>
      <c r="J28" s="184">
        <f>CEILING(I28*1.03,1000)</f>
        <v>2927000</v>
      </c>
      <c r="K28" s="213">
        <v>3257000</v>
      </c>
      <c r="L28" s="213">
        <v>4532000</v>
      </c>
      <c r="M28" s="184">
        <f>CEILING(K28*1.12,1000)</f>
        <v>3648000</v>
      </c>
      <c r="N28" s="213">
        <f>L28-M28</f>
        <v>884000</v>
      </c>
      <c r="O28" s="183">
        <f>N28*0.38</f>
        <v>335920</v>
      </c>
      <c r="P28" s="183">
        <f>M28+O28</f>
        <v>3983920</v>
      </c>
      <c r="Q28" s="213" t="e">
        <f>CEILING(#REF!*1.06,1000)</f>
        <v>#REF!</v>
      </c>
      <c r="R28" s="213" t="s">
        <v>258</v>
      </c>
      <c r="S28" s="213" t="s">
        <v>293</v>
      </c>
      <c r="T28" s="213">
        <v>7201000</v>
      </c>
      <c r="U28" s="213">
        <v>6316000</v>
      </c>
      <c r="V28" s="213">
        <f t="shared" si="0"/>
        <v>885000</v>
      </c>
      <c r="W28" s="213">
        <f t="shared" si="1"/>
        <v>398250</v>
      </c>
      <c r="X28" s="213">
        <f t="shared" si="7"/>
        <v>6714250</v>
      </c>
      <c r="Y28" s="213">
        <f t="shared" si="8"/>
        <v>6715000</v>
      </c>
      <c r="Z28" s="213">
        <v>804</v>
      </c>
      <c r="AA28" s="183"/>
      <c r="AB28" s="183"/>
      <c r="AC28" s="213">
        <f t="shared" si="13"/>
        <v>804</v>
      </c>
      <c r="AD28" s="214">
        <v>0.25</v>
      </c>
      <c r="AE28" s="183">
        <f t="shared" si="14"/>
        <v>201</v>
      </c>
      <c r="AF28" s="183">
        <f t="shared" si="15"/>
        <v>1005</v>
      </c>
      <c r="AG28" s="183"/>
      <c r="AH28" s="183"/>
      <c r="AI28" s="183"/>
      <c r="AJ28" s="183"/>
    </row>
    <row r="29" spans="1:36" ht="12.75">
      <c r="A29" s="183">
        <v>142</v>
      </c>
      <c r="B29" s="212" t="s">
        <v>483</v>
      </c>
      <c r="C29" s="184"/>
      <c r="D29" s="184"/>
      <c r="E29" s="184"/>
      <c r="F29" s="183"/>
      <c r="G29" s="183" t="s">
        <v>480</v>
      </c>
      <c r="H29" s="183"/>
      <c r="I29" s="184"/>
      <c r="J29" s="184"/>
      <c r="K29" s="213"/>
      <c r="L29" s="213"/>
      <c r="M29" s="184"/>
      <c r="N29" s="213"/>
      <c r="O29" s="183"/>
      <c r="P29" s="183"/>
      <c r="Q29" s="213"/>
      <c r="R29" s="213"/>
      <c r="S29" s="213"/>
      <c r="T29" s="213"/>
      <c r="U29" s="213"/>
      <c r="V29" s="213"/>
      <c r="W29" s="213"/>
      <c r="X29" s="213"/>
      <c r="Y29" s="213">
        <v>7730000</v>
      </c>
      <c r="Z29" s="213">
        <v>1160</v>
      </c>
      <c r="AA29" s="183"/>
      <c r="AB29" s="183"/>
      <c r="AC29" s="213">
        <f t="shared" si="13"/>
        <v>1160</v>
      </c>
      <c r="AD29" s="214">
        <v>0.25</v>
      </c>
      <c r="AE29" s="183">
        <f t="shared" si="14"/>
        <v>290</v>
      </c>
      <c r="AF29" s="183">
        <f t="shared" si="15"/>
        <v>1450</v>
      </c>
      <c r="AG29" s="183"/>
      <c r="AH29" s="183"/>
      <c r="AI29" s="183"/>
      <c r="AJ29" s="183"/>
    </row>
    <row r="30" spans="1:36" ht="12.75">
      <c r="A30" s="183">
        <v>143</v>
      </c>
      <c r="B30" s="212" t="s">
        <v>526</v>
      </c>
      <c r="C30" s="184"/>
      <c r="D30" s="184"/>
      <c r="E30" s="184"/>
      <c r="F30" s="183"/>
      <c r="G30" s="183" t="s">
        <v>481</v>
      </c>
      <c r="H30" s="183"/>
      <c r="I30" s="184"/>
      <c r="J30" s="184"/>
      <c r="K30" s="213"/>
      <c r="L30" s="213"/>
      <c r="M30" s="184"/>
      <c r="N30" s="213"/>
      <c r="O30" s="183"/>
      <c r="P30" s="183"/>
      <c r="Q30" s="213"/>
      <c r="R30" s="213"/>
      <c r="S30" s="213"/>
      <c r="T30" s="213"/>
      <c r="U30" s="213"/>
      <c r="V30" s="213"/>
      <c r="W30" s="213"/>
      <c r="X30" s="213"/>
      <c r="Y30" s="213">
        <v>5044000</v>
      </c>
      <c r="Z30" s="213">
        <v>1160</v>
      </c>
      <c r="AA30" s="183"/>
      <c r="AB30" s="183"/>
      <c r="AC30" s="213">
        <f t="shared" si="13"/>
        <v>1160</v>
      </c>
      <c r="AD30" s="214">
        <v>0.15</v>
      </c>
      <c r="AE30" s="183">
        <f t="shared" si="14"/>
        <v>174</v>
      </c>
      <c r="AF30" s="183">
        <f t="shared" si="15"/>
        <v>1334</v>
      </c>
      <c r="AG30" s="183"/>
      <c r="AH30" s="183"/>
      <c r="AI30" s="183"/>
      <c r="AJ30" s="183"/>
    </row>
    <row r="31" spans="1:36" ht="12.75">
      <c r="A31" s="183"/>
      <c r="B31" s="183"/>
      <c r="C31" s="184"/>
      <c r="D31" s="184"/>
      <c r="E31" s="184"/>
      <c r="F31" s="183"/>
      <c r="G31" s="183"/>
      <c r="H31" s="183"/>
      <c r="I31" s="183"/>
      <c r="J31" s="183"/>
      <c r="K31" s="213"/>
      <c r="L31" s="213"/>
      <c r="M31" s="184"/>
      <c r="N31" s="213"/>
      <c r="O31" s="183"/>
      <c r="P31" s="183"/>
      <c r="Q31" s="183"/>
      <c r="R31" s="183"/>
      <c r="S31" s="183"/>
      <c r="T31" s="183"/>
      <c r="U31" s="183"/>
      <c r="V31" s="213">
        <f t="shared" si="0"/>
        <v>0</v>
      </c>
      <c r="W31" s="213">
        <f t="shared" si="1"/>
        <v>0</v>
      </c>
      <c r="X31" s="213"/>
      <c r="Y31" s="213"/>
      <c r="Z31" s="213"/>
      <c r="AA31" s="183"/>
      <c r="AB31" s="183"/>
      <c r="AC31" s="183"/>
      <c r="AD31" s="214"/>
      <c r="AE31" s="183"/>
      <c r="AF31" s="183"/>
      <c r="AG31" s="183"/>
      <c r="AH31" s="183"/>
      <c r="AI31" s="183"/>
      <c r="AJ31" s="183"/>
    </row>
    <row r="32" spans="1:36" ht="12.75">
      <c r="A32" s="183"/>
      <c r="B32" s="450" t="s">
        <v>136</v>
      </c>
      <c r="C32" s="450"/>
      <c r="D32" s="450"/>
      <c r="E32" s="450"/>
      <c r="F32" s="450"/>
      <c r="G32" s="450"/>
      <c r="H32" s="183"/>
      <c r="I32" s="183"/>
      <c r="J32" s="183"/>
      <c r="K32" s="213"/>
      <c r="L32" s="213"/>
      <c r="M32" s="184"/>
      <c r="N32" s="213"/>
      <c r="O32" s="183"/>
      <c r="P32" s="183"/>
      <c r="Q32" s="183"/>
      <c r="R32" s="183"/>
      <c r="S32" s="183"/>
      <c r="T32" s="183"/>
      <c r="U32" s="183"/>
      <c r="V32" s="213">
        <f t="shared" si="0"/>
        <v>0</v>
      </c>
      <c r="W32" s="213">
        <f t="shared" si="1"/>
        <v>0</v>
      </c>
      <c r="X32" s="213"/>
      <c r="Y32" s="213"/>
      <c r="Z32" s="213"/>
      <c r="AA32" s="183"/>
      <c r="AB32" s="183"/>
      <c r="AC32" s="183"/>
      <c r="AD32" s="183"/>
      <c r="AE32" s="183"/>
      <c r="AF32" s="183"/>
      <c r="AG32" s="183"/>
      <c r="AH32" s="183"/>
      <c r="AI32" s="183"/>
      <c r="AJ32" s="183"/>
    </row>
    <row r="33" spans="1:36" ht="12.75">
      <c r="A33" s="183">
        <v>144</v>
      </c>
      <c r="B33" s="212" t="s">
        <v>338</v>
      </c>
      <c r="C33" s="184" t="s">
        <v>339</v>
      </c>
      <c r="D33" s="184" t="s">
        <v>340</v>
      </c>
      <c r="E33" s="184">
        <v>1</v>
      </c>
      <c r="F33" s="183" t="s">
        <v>33</v>
      </c>
      <c r="G33" s="183" t="s">
        <v>98</v>
      </c>
      <c r="H33" s="183">
        <v>4023000</v>
      </c>
      <c r="I33" s="184">
        <f aca="true" t="shared" si="16" ref="I33:I39">H33*1.0829</f>
        <v>4356506.7</v>
      </c>
      <c r="J33" s="184">
        <f aca="true" t="shared" si="17" ref="J33:J39">CEILING(I33*1.03,1000)</f>
        <v>4488000</v>
      </c>
      <c r="K33" s="184">
        <v>4993000</v>
      </c>
      <c r="L33" s="184">
        <v>8200000</v>
      </c>
      <c r="M33" s="184">
        <f aca="true" t="shared" si="18" ref="M33:M39">CEILING(K33*1.12,1000)</f>
        <v>5593000</v>
      </c>
      <c r="N33" s="213">
        <f aca="true" t="shared" si="19" ref="N33:N39">L33-M33</f>
        <v>2607000</v>
      </c>
      <c r="O33" s="183">
        <f aca="true" t="shared" si="20" ref="O33:O39">N33*0.38</f>
        <v>990660</v>
      </c>
      <c r="P33" s="183">
        <f aca="true" t="shared" si="21" ref="P33:P39">M33+O33</f>
        <v>6583660</v>
      </c>
      <c r="Q33" s="213" t="e">
        <f>CEILING(#REF!*1.06,1000)</f>
        <v>#REF!</v>
      </c>
      <c r="R33" s="213" t="s">
        <v>267</v>
      </c>
      <c r="S33" s="213" t="s">
        <v>297</v>
      </c>
      <c r="T33" s="213">
        <v>13158000</v>
      </c>
      <c r="U33" s="213">
        <v>11057000</v>
      </c>
      <c r="V33" s="213">
        <f t="shared" si="0"/>
        <v>2101000</v>
      </c>
      <c r="W33" s="213">
        <f t="shared" si="1"/>
        <v>945450</v>
      </c>
      <c r="X33" s="213">
        <f t="shared" si="7"/>
        <v>12002450</v>
      </c>
      <c r="Y33" s="213">
        <f aca="true" t="shared" si="22" ref="Y33:Y39">ROUNDUP(X33,-3)</f>
        <v>12003000</v>
      </c>
      <c r="Z33" s="213">
        <v>1465</v>
      </c>
      <c r="AA33" s="213">
        <f>Z33*30%</f>
        <v>439.5</v>
      </c>
      <c r="AB33" s="183"/>
      <c r="AC33" s="213">
        <f aca="true" t="shared" si="23" ref="AC33:AC42">SUM(Z33:AB33)</f>
        <v>1904.5</v>
      </c>
      <c r="AD33" s="214">
        <v>0.25</v>
      </c>
      <c r="AE33" s="183">
        <f aca="true" t="shared" si="24" ref="AE33:AE41">AC33*AD33</f>
        <v>476.125</v>
      </c>
      <c r="AF33" s="183">
        <f aca="true" t="shared" si="25" ref="AF33:AF42">SUM(AC33,AE33)</f>
        <v>2380.625</v>
      </c>
      <c r="AG33" s="183"/>
      <c r="AH33" s="183"/>
      <c r="AI33" s="183"/>
      <c r="AJ33" s="183"/>
    </row>
    <row r="34" spans="1:36" ht="12.75">
      <c r="A34" s="183">
        <v>145</v>
      </c>
      <c r="B34" s="212" t="s">
        <v>338</v>
      </c>
      <c r="C34" s="184" t="s">
        <v>339</v>
      </c>
      <c r="D34" s="184" t="s">
        <v>340</v>
      </c>
      <c r="E34" s="184">
        <v>1</v>
      </c>
      <c r="G34" s="183" t="s">
        <v>114</v>
      </c>
      <c r="H34" s="183">
        <v>3556000</v>
      </c>
      <c r="I34" s="184">
        <f t="shared" si="16"/>
        <v>3850792.4</v>
      </c>
      <c r="J34" s="184">
        <f t="shared" si="17"/>
        <v>3967000</v>
      </c>
      <c r="K34" s="213">
        <v>4993000</v>
      </c>
      <c r="L34" s="213">
        <v>5593000</v>
      </c>
      <c r="M34" s="184">
        <f t="shared" si="18"/>
        <v>5593000</v>
      </c>
      <c r="N34" s="213">
        <f t="shared" si="19"/>
        <v>0</v>
      </c>
      <c r="O34" s="183">
        <f t="shared" si="20"/>
        <v>0</v>
      </c>
      <c r="P34" s="183">
        <f t="shared" si="21"/>
        <v>5593000</v>
      </c>
      <c r="Q34" s="213">
        <v>5593000</v>
      </c>
      <c r="R34" s="213" t="s">
        <v>267</v>
      </c>
      <c r="S34" s="213" t="s">
        <v>297</v>
      </c>
      <c r="T34" s="213">
        <v>13158000</v>
      </c>
      <c r="U34" s="213">
        <v>11057000</v>
      </c>
      <c r="V34" s="213">
        <f t="shared" si="0"/>
        <v>2101000</v>
      </c>
      <c r="W34" s="213">
        <f t="shared" si="1"/>
        <v>945450</v>
      </c>
      <c r="X34" s="213">
        <f t="shared" si="7"/>
        <v>12002450</v>
      </c>
      <c r="Y34" s="213">
        <f t="shared" si="22"/>
        <v>12003000</v>
      </c>
      <c r="Z34" s="213">
        <v>1465</v>
      </c>
      <c r="AB34" s="183"/>
      <c r="AC34" s="213">
        <f t="shared" si="23"/>
        <v>1465</v>
      </c>
      <c r="AD34" s="214">
        <v>0.15</v>
      </c>
      <c r="AE34" s="183">
        <f t="shared" si="24"/>
        <v>219.75</v>
      </c>
      <c r="AF34" s="183">
        <f t="shared" si="25"/>
        <v>1684.75</v>
      </c>
      <c r="AG34" s="183"/>
      <c r="AH34" s="183"/>
      <c r="AI34" s="183"/>
      <c r="AJ34" s="183"/>
    </row>
    <row r="35" spans="1:36" ht="12.75">
      <c r="A35" s="183">
        <v>146</v>
      </c>
      <c r="B35" s="212" t="s">
        <v>338</v>
      </c>
      <c r="C35" s="184" t="s">
        <v>339</v>
      </c>
      <c r="D35" s="184" t="s">
        <v>340</v>
      </c>
      <c r="E35" s="184">
        <v>1</v>
      </c>
      <c r="F35" s="183"/>
      <c r="G35" s="183" t="s">
        <v>508</v>
      </c>
      <c r="H35" s="183">
        <v>4023000</v>
      </c>
      <c r="I35" s="184">
        <f t="shared" si="16"/>
        <v>4356506.7</v>
      </c>
      <c r="J35" s="184">
        <f t="shared" si="17"/>
        <v>4488000</v>
      </c>
      <c r="K35" s="213">
        <v>4993000</v>
      </c>
      <c r="L35" s="213">
        <v>8200000</v>
      </c>
      <c r="M35" s="184">
        <f t="shared" si="18"/>
        <v>5593000</v>
      </c>
      <c r="N35" s="213">
        <f t="shared" si="19"/>
        <v>2607000</v>
      </c>
      <c r="O35" s="183">
        <f t="shared" si="20"/>
        <v>990660</v>
      </c>
      <c r="P35" s="183">
        <f t="shared" si="21"/>
        <v>6583660</v>
      </c>
      <c r="Q35" s="213" t="e">
        <f>CEILING(#REF!*1.06,1000)</f>
        <v>#REF!</v>
      </c>
      <c r="R35" s="213" t="s">
        <v>267</v>
      </c>
      <c r="S35" s="213" t="s">
        <v>297</v>
      </c>
      <c r="T35" s="213">
        <v>13158000</v>
      </c>
      <c r="U35" s="213">
        <v>11057000</v>
      </c>
      <c r="V35" s="213">
        <f>T35-U35</f>
        <v>2101000</v>
      </c>
      <c r="W35" s="213">
        <f>V35*45%</f>
        <v>945450</v>
      </c>
      <c r="X35" s="213">
        <f>SUM(U35,W35)</f>
        <v>12002450</v>
      </c>
      <c r="Y35" s="213">
        <f t="shared" si="22"/>
        <v>12003000</v>
      </c>
      <c r="Z35" s="213">
        <v>1465</v>
      </c>
      <c r="AA35" s="183"/>
      <c r="AB35" s="183"/>
      <c r="AC35" s="213">
        <f t="shared" si="23"/>
        <v>1465</v>
      </c>
      <c r="AD35" s="214">
        <v>0.25</v>
      </c>
      <c r="AE35" s="183">
        <f t="shared" si="24"/>
        <v>366.25</v>
      </c>
      <c r="AF35" s="183">
        <f t="shared" si="25"/>
        <v>1831.25</v>
      </c>
      <c r="AG35" s="183"/>
      <c r="AH35" s="183"/>
      <c r="AI35" s="183"/>
      <c r="AJ35" s="183"/>
    </row>
    <row r="36" spans="1:36" ht="12.75">
      <c r="A36" s="183">
        <v>147</v>
      </c>
      <c r="B36" s="212" t="s">
        <v>338</v>
      </c>
      <c r="C36" s="184" t="s">
        <v>339</v>
      </c>
      <c r="D36" s="184" t="s">
        <v>340</v>
      </c>
      <c r="E36" s="184">
        <v>2</v>
      </c>
      <c r="F36" s="183"/>
      <c r="G36" s="183" t="s">
        <v>102</v>
      </c>
      <c r="H36" s="183">
        <v>2799000</v>
      </c>
      <c r="I36" s="184">
        <f t="shared" si="16"/>
        <v>3031037.1</v>
      </c>
      <c r="J36" s="184">
        <f t="shared" si="17"/>
        <v>3122000</v>
      </c>
      <c r="K36" s="213">
        <v>3834000</v>
      </c>
      <c r="L36" s="213">
        <v>6707000</v>
      </c>
      <c r="M36" s="184">
        <f t="shared" si="18"/>
        <v>4295000</v>
      </c>
      <c r="N36" s="213">
        <f t="shared" si="19"/>
        <v>2412000</v>
      </c>
      <c r="O36" s="183">
        <f t="shared" si="20"/>
        <v>916560</v>
      </c>
      <c r="P36" s="183">
        <f t="shared" si="21"/>
        <v>5211560</v>
      </c>
      <c r="Q36" s="213" t="e">
        <f>CEILING(#REF!*1.06,1000)</f>
        <v>#REF!</v>
      </c>
      <c r="R36" s="213" t="s">
        <v>271</v>
      </c>
      <c r="S36" s="213" t="s">
        <v>290</v>
      </c>
      <c r="T36" s="213">
        <v>10675000</v>
      </c>
      <c r="U36" s="213">
        <v>8970000</v>
      </c>
      <c r="V36" s="213">
        <f t="shared" si="0"/>
        <v>1705000</v>
      </c>
      <c r="W36" s="213">
        <f t="shared" si="1"/>
        <v>767250</v>
      </c>
      <c r="X36" s="213">
        <f t="shared" si="7"/>
        <v>9737250</v>
      </c>
      <c r="Y36" s="213">
        <f t="shared" si="22"/>
        <v>9738000</v>
      </c>
      <c r="Z36" s="213">
        <v>1313</v>
      </c>
      <c r="AA36" s="183"/>
      <c r="AB36" s="213">
        <f>(Z36+AA36)*15%</f>
        <v>196.95</v>
      </c>
      <c r="AC36" s="213">
        <f t="shared" si="23"/>
        <v>1509.95</v>
      </c>
      <c r="AD36" s="214">
        <v>0.1</v>
      </c>
      <c r="AE36" s="183">
        <f t="shared" si="24"/>
        <v>150.995</v>
      </c>
      <c r="AF36" s="183">
        <f t="shared" si="25"/>
        <v>1660.9450000000002</v>
      </c>
      <c r="AG36" s="183"/>
      <c r="AH36" s="183"/>
      <c r="AI36" s="183"/>
      <c r="AJ36" s="183"/>
    </row>
    <row r="37" spans="1:36" ht="12.75">
      <c r="A37" s="183">
        <v>148</v>
      </c>
      <c r="B37" s="212" t="s">
        <v>354</v>
      </c>
      <c r="C37" s="184" t="s">
        <v>353</v>
      </c>
      <c r="D37" s="184" t="s">
        <v>340</v>
      </c>
      <c r="E37" s="184">
        <v>1</v>
      </c>
      <c r="F37" s="183"/>
      <c r="G37" s="183" t="s">
        <v>116</v>
      </c>
      <c r="H37" s="183">
        <v>2857000</v>
      </c>
      <c r="I37" s="184">
        <f t="shared" si="16"/>
        <v>3093845.3</v>
      </c>
      <c r="J37" s="184">
        <f t="shared" si="17"/>
        <v>3187000</v>
      </c>
      <c r="K37" s="213">
        <v>3546000</v>
      </c>
      <c r="L37" s="213">
        <v>7405000</v>
      </c>
      <c r="M37" s="184">
        <f t="shared" si="18"/>
        <v>3972000</v>
      </c>
      <c r="N37" s="213">
        <f t="shared" si="19"/>
        <v>3433000</v>
      </c>
      <c r="O37" s="183">
        <f t="shared" si="20"/>
        <v>1304540</v>
      </c>
      <c r="P37" s="183">
        <f t="shared" si="21"/>
        <v>5276540</v>
      </c>
      <c r="Q37" s="213" t="e">
        <f>CEILING(#REF!*1.06,1000)</f>
        <v>#REF!</v>
      </c>
      <c r="R37" s="213" t="s">
        <v>253</v>
      </c>
      <c r="S37" s="213" t="s">
        <v>298</v>
      </c>
      <c r="T37" s="213">
        <v>11289000</v>
      </c>
      <c r="U37" s="213">
        <v>9902000</v>
      </c>
      <c r="V37" s="213">
        <f>T37-U37</f>
        <v>1387000</v>
      </c>
      <c r="W37" s="213">
        <f>V37*45%</f>
        <v>624150</v>
      </c>
      <c r="X37" s="213">
        <f>SUM(U37,W37)</f>
        <v>10526150</v>
      </c>
      <c r="Y37" s="213">
        <f t="shared" si="22"/>
        <v>10527000</v>
      </c>
      <c r="Z37" s="213">
        <v>1258</v>
      </c>
      <c r="AA37" s="183"/>
      <c r="AB37" s="183"/>
      <c r="AC37" s="213">
        <f t="shared" si="23"/>
        <v>1258</v>
      </c>
      <c r="AD37" s="214">
        <v>0.25</v>
      </c>
      <c r="AE37" s="183">
        <f t="shared" si="24"/>
        <v>314.5</v>
      </c>
      <c r="AF37" s="183">
        <f t="shared" si="25"/>
        <v>1572.5</v>
      </c>
      <c r="AG37" s="183"/>
      <c r="AH37" s="183"/>
      <c r="AI37" s="183"/>
      <c r="AJ37" s="183"/>
    </row>
    <row r="38" spans="1:36" ht="12.75">
      <c r="A38" s="183">
        <v>149</v>
      </c>
      <c r="B38" s="212" t="s">
        <v>346</v>
      </c>
      <c r="C38" s="184" t="s">
        <v>345</v>
      </c>
      <c r="D38" s="184" t="s">
        <v>340</v>
      </c>
      <c r="E38" s="184">
        <v>1</v>
      </c>
      <c r="F38" s="183"/>
      <c r="G38" s="183" t="s">
        <v>115</v>
      </c>
      <c r="H38" s="183">
        <v>2624000</v>
      </c>
      <c r="I38" s="184">
        <f t="shared" si="16"/>
        <v>2841529.6</v>
      </c>
      <c r="J38" s="184">
        <f t="shared" si="17"/>
        <v>2927000</v>
      </c>
      <c r="K38" s="213">
        <v>3257000</v>
      </c>
      <c r="L38" s="213">
        <v>4532000</v>
      </c>
      <c r="M38" s="184">
        <f t="shared" si="18"/>
        <v>3648000</v>
      </c>
      <c r="N38" s="213">
        <f t="shared" si="19"/>
        <v>884000</v>
      </c>
      <c r="O38" s="183">
        <f t="shared" si="20"/>
        <v>335920</v>
      </c>
      <c r="P38" s="183">
        <f t="shared" si="21"/>
        <v>3983920</v>
      </c>
      <c r="Q38" s="213" t="e">
        <f>CEILING(#REF!*1.06,1000)</f>
        <v>#REF!</v>
      </c>
      <c r="R38" s="213" t="s">
        <v>255</v>
      </c>
      <c r="S38" s="213" t="s">
        <v>293</v>
      </c>
      <c r="T38" s="213">
        <v>7201000</v>
      </c>
      <c r="U38" s="213">
        <v>6316000</v>
      </c>
      <c r="V38" s="213">
        <f>T38-U38</f>
        <v>885000</v>
      </c>
      <c r="W38" s="213">
        <f>V38*45%</f>
        <v>398250</v>
      </c>
      <c r="X38" s="213">
        <f>SUM(U38,W38)</f>
        <v>6714250</v>
      </c>
      <c r="Y38" s="213">
        <f t="shared" si="22"/>
        <v>6715000</v>
      </c>
      <c r="Z38" s="213">
        <v>804</v>
      </c>
      <c r="AA38" s="183"/>
      <c r="AB38" s="183"/>
      <c r="AC38" s="213">
        <f t="shared" si="23"/>
        <v>804</v>
      </c>
      <c r="AD38" s="214">
        <v>0.25</v>
      </c>
      <c r="AE38" s="183">
        <f t="shared" si="24"/>
        <v>201</v>
      </c>
      <c r="AF38" s="183">
        <f t="shared" si="25"/>
        <v>1005</v>
      </c>
      <c r="AG38" s="183"/>
      <c r="AH38" s="183"/>
      <c r="AI38" s="183"/>
      <c r="AJ38" s="183"/>
    </row>
    <row r="39" spans="1:36" ht="12.75">
      <c r="A39" s="183">
        <v>150</v>
      </c>
      <c r="B39" s="212" t="s">
        <v>346</v>
      </c>
      <c r="C39" s="184" t="s">
        <v>345</v>
      </c>
      <c r="D39" s="184" t="s">
        <v>340</v>
      </c>
      <c r="E39" s="184">
        <v>1</v>
      </c>
      <c r="F39" s="183"/>
      <c r="G39" s="183" t="s">
        <v>119</v>
      </c>
      <c r="H39" s="183">
        <v>2624000</v>
      </c>
      <c r="I39" s="184">
        <f t="shared" si="16"/>
        <v>2841529.6</v>
      </c>
      <c r="J39" s="184">
        <f t="shared" si="17"/>
        <v>2927000</v>
      </c>
      <c r="K39" s="213">
        <v>3257000</v>
      </c>
      <c r="L39" s="213">
        <v>4532000</v>
      </c>
      <c r="M39" s="184">
        <f t="shared" si="18"/>
        <v>3648000</v>
      </c>
      <c r="N39" s="213">
        <f t="shared" si="19"/>
        <v>884000</v>
      </c>
      <c r="O39" s="183">
        <f t="shared" si="20"/>
        <v>335920</v>
      </c>
      <c r="P39" s="183">
        <f t="shared" si="21"/>
        <v>3983920</v>
      </c>
      <c r="Q39" s="213" t="e">
        <f>CEILING(#REF!*1.06,1000)</f>
        <v>#REF!</v>
      </c>
      <c r="R39" s="213" t="s">
        <v>255</v>
      </c>
      <c r="S39" s="213" t="s">
        <v>293</v>
      </c>
      <c r="T39" s="213">
        <v>7201000</v>
      </c>
      <c r="U39" s="213">
        <v>6316000</v>
      </c>
      <c r="V39" s="213">
        <f>T39-U39</f>
        <v>885000</v>
      </c>
      <c r="W39" s="213">
        <f>V39*45%</f>
        <v>398250</v>
      </c>
      <c r="X39" s="213">
        <f>SUM(U39,W39)</f>
        <v>6714250</v>
      </c>
      <c r="Y39" s="213">
        <f t="shared" si="22"/>
        <v>6715000</v>
      </c>
      <c r="Z39" s="213">
        <v>804</v>
      </c>
      <c r="AA39" s="183"/>
      <c r="AB39" s="183"/>
      <c r="AC39" s="213">
        <f t="shared" si="23"/>
        <v>804</v>
      </c>
      <c r="AD39" s="214">
        <v>0.25</v>
      </c>
      <c r="AE39" s="183">
        <f t="shared" si="24"/>
        <v>201</v>
      </c>
      <c r="AF39" s="183">
        <f t="shared" si="25"/>
        <v>1005</v>
      </c>
      <c r="AG39" s="183"/>
      <c r="AH39" s="183"/>
      <c r="AI39" s="183"/>
      <c r="AJ39" s="183"/>
    </row>
    <row r="40" spans="1:36" ht="12.75">
      <c r="A40" s="183">
        <v>151</v>
      </c>
      <c r="B40" s="212" t="s">
        <v>338</v>
      </c>
      <c r="C40" s="184" t="s">
        <v>339</v>
      </c>
      <c r="D40" s="184" t="s">
        <v>343</v>
      </c>
      <c r="E40" s="184">
        <v>3</v>
      </c>
      <c r="F40" s="183"/>
      <c r="G40" s="3" t="s">
        <v>226</v>
      </c>
      <c r="H40" s="184"/>
      <c r="I40" s="213"/>
      <c r="J40" s="213"/>
      <c r="K40" s="213"/>
      <c r="L40" s="213"/>
      <c r="M40" s="183"/>
      <c r="N40" s="183"/>
      <c r="O40" s="183"/>
      <c r="P40" s="213"/>
      <c r="Q40" s="183">
        <v>4134000</v>
      </c>
      <c r="R40" s="213" t="s">
        <v>274</v>
      </c>
      <c r="S40" s="213" t="s">
        <v>306</v>
      </c>
      <c r="T40" s="213">
        <v>10675000</v>
      </c>
      <c r="U40" s="213">
        <v>5216000</v>
      </c>
      <c r="V40" s="213">
        <f t="shared" si="0"/>
        <v>5459000</v>
      </c>
      <c r="W40" s="213">
        <f t="shared" si="1"/>
        <v>2456550</v>
      </c>
      <c r="X40" s="213">
        <f t="shared" si="7"/>
        <v>7672550</v>
      </c>
      <c r="Y40" s="213">
        <v>7257000</v>
      </c>
      <c r="Z40" s="213">
        <v>887</v>
      </c>
      <c r="AB40" s="214"/>
      <c r="AC40" s="213">
        <f t="shared" si="23"/>
        <v>887</v>
      </c>
      <c r="AD40" s="214">
        <v>0.2</v>
      </c>
      <c r="AE40" s="183">
        <f>AC40*AD40</f>
        <v>177.4</v>
      </c>
      <c r="AF40" s="183">
        <f>SUM(AC40,AE40)</f>
        <v>1064.4</v>
      </c>
      <c r="AH40" s="183"/>
      <c r="AI40" s="183"/>
      <c r="AJ40" s="183"/>
    </row>
    <row r="41" spans="1:32" ht="12.75">
      <c r="A41" s="183">
        <v>152</v>
      </c>
      <c r="B41" s="212" t="s">
        <v>338</v>
      </c>
      <c r="C41" s="184" t="s">
        <v>339</v>
      </c>
      <c r="D41" s="184" t="s">
        <v>525</v>
      </c>
      <c r="E41" s="184">
        <v>3</v>
      </c>
      <c r="G41" s="183" t="s">
        <v>502</v>
      </c>
      <c r="Y41" s="183">
        <v>4375000</v>
      </c>
      <c r="Z41" s="213">
        <v>693</v>
      </c>
      <c r="AC41" s="213">
        <f t="shared" si="23"/>
        <v>693</v>
      </c>
      <c r="AD41" s="214">
        <v>0.25</v>
      </c>
      <c r="AE41" s="183">
        <f t="shared" si="24"/>
        <v>173.25</v>
      </c>
      <c r="AF41" s="183">
        <f t="shared" si="25"/>
        <v>866.25</v>
      </c>
    </row>
    <row r="42" spans="1:32" ht="12.75">
      <c r="A42" s="183">
        <v>153</v>
      </c>
      <c r="B42" s="212" t="s">
        <v>338</v>
      </c>
      <c r="C42" s="184" t="s">
        <v>339</v>
      </c>
      <c r="D42" s="219" t="s">
        <v>355</v>
      </c>
      <c r="G42" s="183" t="s">
        <v>217</v>
      </c>
      <c r="Y42" s="183">
        <v>4375000</v>
      </c>
      <c r="Z42" s="213">
        <v>533</v>
      </c>
      <c r="AC42" s="213">
        <f t="shared" si="23"/>
        <v>533</v>
      </c>
      <c r="AF42" s="183">
        <f t="shared" si="25"/>
        <v>533</v>
      </c>
    </row>
    <row r="43" spans="1:32" ht="12.75">
      <c r="A43" s="183"/>
      <c r="B43" s="296" t="s">
        <v>504</v>
      </c>
      <c r="C43" s="184"/>
      <c r="G43" s="183"/>
      <c r="Y43" s="183"/>
      <c r="Z43" s="294">
        <f>SUM(Z10:Z28,Z33:Z42)</f>
        <v>30320</v>
      </c>
      <c r="AA43" s="294">
        <f aca="true" t="shared" si="26" ref="AA43:AF43">SUM(AA10:AA28,AA33:AA42)</f>
        <v>1611.5</v>
      </c>
      <c r="AB43" s="294">
        <f t="shared" si="26"/>
        <v>1123.7250000000001</v>
      </c>
      <c r="AC43" s="294">
        <f t="shared" si="26"/>
        <v>33055.225000000006</v>
      </c>
      <c r="AD43" s="294">
        <f t="shared" si="26"/>
        <v>5.35</v>
      </c>
      <c r="AE43" s="294">
        <f t="shared" si="26"/>
        <v>7239.05125</v>
      </c>
      <c r="AF43" s="294">
        <f t="shared" si="26"/>
        <v>40294.27625</v>
      </c>
    </row>
    <row r="44" spans="1:32" ht="12.75">
      <c r="A44" s="183"/>
      <c r="B44" s="296" t="s">
        <v>505</v>
      </c>
      <c r="C44" s="184"/>
      <c r="G44" s="183"/>
      <c r="Y44" s="183"/>
      <c r="Z44" s="294">
        <f>SUM(Z29:Z30)</f>
        <v>2320</v>
      </c>
      <c r="AA44" s="294">
        <f aca="true" t="shared" si="27" ref="AA44:AF44">SUM(AA29:AA30)</f>
        <v>0</v>
      </c>
      <c r="AB44" s="294">
        <f t="shared" si="27"/>
        <v>0</v>
      </c>
      <c r="AC44" s="294">
        <f t="shared" si="27"/>
        <v>2320</v>
      </c>
      <c r="AD44" s="294">
        <f t="shared" si="27"/>
        <v>0.4</v>
      </c>
      <c r="AE44" s="294">
        <f t="shared" si="27"/>
        <v>464</v>
      </c>
      <c r="AF44" s="294">
        <f t="shared" si="27"/>
        <v>2784</v>
      </c>
    </row>
    <row r="45" spans="1:36" ht="12.75">
      <c r="A45" s="183"/>
      <c r="B45" s="212"/>
      <c r="C45" s="184"/>
      <c r="D45" s="184"/>
      <c r="E45" s="184"/>
      <c r="F45" s="183"/>
      <c r="G45" s="183"/>
      <c r="H45" s="183"/>
      <c r="I45" s="184"/>
      <c r="J45" s="184"/>
      <c r="K45" s="213"/>
      <c r="L45" s="213"/>
      <c r="M45" s="184"/>
      <c r="N45" s="213"/>
      <c r="O45" s="183"/>
      <c r="P45" s="183"/>
      <c r="Q45" s="213"/>
      <c r="R45" s="213"/>
      <c r="S45" s="213"/>
      <c r="T45" s="213"/>
      <c r="U45" s="213"/>
      <c r="V45" s="213"/>
      <c r="W45" s="213"/>
      <c r="X45" s="213"/>
      <c r="Y45" s="213"/>
      <c r="Z45" s="213"/>
      <c r="AA45" s="183"/>
      <c r="AB45" s="213"/>
      <c r="AC45" s="183"/>
      <c r="AD45" s="214"/>
      <c r="AE45" s="183"/>
      <c r="AF45" s="183"/>
      <c r="AG45" s="183"/>
      <c r="AH45" s="183"/>
      <c r="AI45" s="183"/>
      <c r="AJ45" s="183"/>
    </row>
    <row r="46" spans="1:38" s="215" customFormat="1" ht="12.75">
      <c r="A46" s="181"/>
      <c r="B46" s="216" t="s">
        <v>68</v>
      </c>
      <c r="C46" s="217"/>
      <c r="D46" s="217"/>
      <c r="E46" s="217"/>
      <c r="F46" s="216"/>
      <c r="G46" s="216"/>
      <c r="H46" s="216">
        <f aca="true" t="shared" si="28" ref="H46:Q46">SUM(H10:H41)</f>
        <v>73284000</v>
      </c>
      <c r="I46" s="216">
        <f t="shared" si="28"/>
        <v>79359243.59999998</v>
      </c>
      <c r="J46" s="216">
        <f t="shared" si="28"/>
        <v>81821000</v>
      </c>
      <c r="K46" s="216">
        <f t="shared" si="28"/>
        <v>93929000</v>
      </c>
      <c r="L46" s="216">
        <f t="shared" si="28"/>
        <v>153651000</v>
      </c>
      <c r="M46" s="216">
        <f t="shared" si="28"/>
        <v>104614000</v>
      </c>
      <c r="N46" s="216">
        <f t="shared" si="28"/>
        <v>49037000</v>
      </c>
      <c r="O46" s="216">
        <f t="shared" si="28"/>
        <v>18634060</v>
      </c>
      <c r="P46" s="216">
        <f t="shared" si="28"/>
        <v>123248060</v>
      </c>
      <c r="Q46" s="216" t="e">
        <f t="shared" si="28"/>
        <v>#REF!</v>
      </c>
      <c r="R46" s="216"/>
      <c r="S46" s="216"/>
      <c r="T46" s="216"/>
      <c r="U46" s="216">
        <f>SUM(U10:U41)</f>
        <v>220489000</v>
      </c>
      <c r="V46" s="216"/>
      <c r="W46" s="216"/>
      <c r="X46" s="216"/>
      <c r="Y46" s="216">
        <f>SUM(Y10:Y42)</f>
        <v>260796000</v>
      </c>
      <c r="Z46" s="216">
        <f>SUM(Z10:Z42)</f>
        <v>32640</v>
      </c>
      <c r="AA46" s="216">
        <f aca="true" t="shared" si="29" ref="AA46:AF46">SUM(AA10:AA42)</f>
        <v>1611.5</v>
      </c>
      <c r="AB46" s="216">
        <f t="shared" si="29"/>
        <v>1123.7250000000001</v>
      </c>
      <c r="AC46" s="216">
        <f t="shared" si="29"/>
        <v>35375.225000000006</v>
      </c>
      <c r="AD46" s="216"/>
      <c r="AE46" s="216">
        <f t="shared" si="29"/>
        <v>7703.05125</v>
      </c>
      <c r="AF46" s="216">
        <f t="shared" si="29"/>
        <v>43078.276249999995</v>
      </c>
      <c r="AG46" s="181"/>
      <c r="AH46" s="181"/>
      <c r="AI46" s="181"/>
      <c r="AJ46" s="181"/>
      <c r="AK46" s="181"/>
      <c r="AL46" s="181"/>
    </row>
    <row r="47" spans="1:38" s="215" customFormat="1" ht="12.75">
      <c r="A47" s="181"/>
      <c r="B47" s="216"/>
      <c r="C47" s="217"/>
      <c r="D47" s="217"/>
      <c r="E47" s="217"/>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181"/>
      <c r="AH47" s="181"/>
      <c r="AI47" s="181"/>
      <c r="AJ47" s="181"/>
      <c r="AK47" s="181"/>
      <c r="AL47" s="181"/>
    </row>
    <row r="48" spans="1:38" ht="12.75">
      <c r="A48" s="183"/>
      <c r="B48" s="183"/>
      <c r="C48" s="184"/>
      <c r="D48" s="184"/>
      <c r="E48" s="184"/>
      <c r="G48" s="184" t="s">
        <v>249</v>
      </c>
      <c r="M48" s="183"/>
      <c r="N48" s="183"/>
      <c r="O48" s="183"/>
      <c r="P48" s="183"/>
      <c r="Q48" s="183"/>
      <c r="R48" s="183"/>
      <c r="S48" s="183"/>
      <c r="T48" s="183"/>
      <c r="U48" s="183"/>
      <c r="V48" s="183"/>
      <c r="W48" s="183"/>
      <c r="X48" s="183"/>
      <c r="Y48" s="183"/>
      <c r="Z48" s="183"/>
      <c r="AB48" s="183"/>
      <c r="AC48" s="183"/>
      <c r="AD48" s="183"/>
      <c r="AE48" s="183"/>
      <c r="AF48" s="183"/>
      <c r="AI48" s="183"/>
      <c r="AJ48" s="183"/>
      <c r="AK48" s="183"/>
      <c r="AL48" s="183"/>
    </row>
    <row r="49" spans="1:38" ht="12.75">
      <c r="A49" s="183"/>
      <c r="B49" s="183"/>
      <c r="C49" s="184"/>
      <c r="D49" s="184"/>
      <c r="E49" s="184"/>
      <c r="G49" s="218" t="s">
        <v>431</v>
      </c>
      <c r="H49" s="218"/>
      <c r="I49" s="218"/>
      <c r="J49" s="218"/>
      <c r="M49" s="183"/>
      <c r="N49" s="183"/>
      <c r="O49" s="183"/>
      <c r="P49" s="183"/>
      <c r="Q49" s="183"/>
      <c r="R49" s="183"/>
      <c r="S49" s="183"/>
      <c r="T49" s="183"/>
      <c r="U49" s="183"/>
      <c r="V49" s="183"/>
      <c r="W49" s="183"/>
      <c r="X49" s="183"/>
      <c r="AD49" s="183"/>
      <c r="AE49" s="183"/>
      <c r="AF49" s="183"/>
      <c r="AI49" s="183"/>
      <c r="AJ49" s="183"/>
      <c r="AK49" s="183"/>
      <c r="AL49" s="183"/>
    </row>
    <row r="50" spans="1:38" ht="12.75">
      <c r="A50" s="183"/>
      <c r="B50" s="183"/>
      <c r="C50" s="184"/>
      <c r="D50" s="184"/>
      <c r="E50" s="184"/>
      <c r="G50" s="184" t="s">
        <v>250</v>
      </c>
      <c r="M50" s="183"/>
      <c r="N50" s="183"/>
      <c r="O50" s="183"/>
      <c r="P50" s="183"/>
      <c r="Q50" s="183"/>
      <c r="R50" s="183"/>
      <c r="S50" s="183"/>
      <c r="T50" s="183"/>
      <c r="U50" s="184"/>
      <c r="V50" s="184"/>
      <c r="W50" s="184"/>
      <c r="X50" s="184"/>
      <c r="Y50" s="184"/>
      <c r="Z50" s="184"/>
      <c r="AB50" s="184"/>
      <c r="AC50" s="183"/>
      <c r="AD50" s="183"/>
      <c r="AE50" s="183"/>
      <c r="AF50" s="183"/>
      <c r="AI50" s="183"/>
      <c r="AJ50" s="183"/>
      <c r="AK50" s="183"/>
      <c r="AL50" s="183"/>
    </row>
    <row r="51" spans="1:38" ht="12.75">
      <c r="A51" s="183"/>
      <c r="B51" s="183"/>
      <c r="C51" s="184"/>
      <c r="D51" s="184"/>
      <c r="E51" s="184"/>
      <c r="G51" s="184" t="s">
        <v>324</v>
      </c>
      <c r="M51" s="183"/>
      <c r="N51" s="183"/>
      <c r="O51" s="183"/>
      <c r="P51" s="183"/>
      <c r="Q51" s="183"/>
      <c r="R51" s="183"/>
      <c r="S51" s="183"/>
      <c r="T51" s="183"/>
      <c r="U51" s="183"/>
      <c r="V51" s="183"/>
      <c r="W51" s="183"/>
      <c r="X51" s="183"/>
      <c r="Y51" s="183"/>
      <c r="Z51" s="183"/>
      <c r="AB51" s="183"/>
      <c r="AC51" s="183"/>
      <c r="AD51" s="183"/>
      <c r="AE51" s="183"/>
      <c r="AF51" s="183"/>
      <c r="AI51" s="183"/>
      <c r="AJ51" s="183"/>
      <c r="AK51" s="183"/>
      <c r="AL51" s="183"/>
    </row>
    <row r="52" spans="1:38" ht="12.75">
      <c r="A52" s="183"/>
      <c r="B52" s="183"/>
      <c r="C52" s="184"/>
      <c r="D52" s="184"/>
      <c r="E52" s="184"/>
      <c r="F52" s="449" t="s">
        <v>329</v>
      </c>
      <c r="G52" s="449"/>
      <c r="H52" s="449"/>
      <c r="I52" s="449"/>
      <c r="J52" s="449"/>
      <c r="K52" s="449"/>
      <c r="L52" s="449"/>
      <c r="M52" s="449"/>
      <c r="N52" s="449"/>
      <c r="O52" s="449"/>
      <c r="P52" s="449"/>
      <c r="Q52" s="449"/>
      <c r="R52" s="449"/>
      <c r="S52" s="449"/>
      <c r="T52" s="449"/>
      <c r="U52" s="449"/>
      <c r="V52" s="449"/>
      <c r="W52" s="449"/>
      <c r="X52" s="449"/>
      <c r="Y52" s="449"/>
      <c r="Z52" s="449"/>
      <c r="AA52" s="449"/>
      <c r="AB52" s="449"/>
      <c r="AI52" s="183"/>
      <c r="AJ52" s="183"/>
      <c r="AK52" s="183"/>
      <c r="AL52" s="183"/>
    </row>
    <row r="53" spans="1:38" ht="12.75">
      <c r="A53" s="183"/>
      <c r="B53" s="183"/>
      <c r="C53" s="184"/>
      <c r="D53" s="184"/>
      <c r="E53" s="184"/>
      <c r="G53" s="218" t="s">
        <v>388</v>
      </c>
      <c r="H53" s="218"/>
      <c r="I53" s="218"/>
      <c r="J53" s="218"/>
      <c r="M53" s="183"/>
      <c r="N53" s="183"/>
      <c r="O53" s="183"/>
      <c r="P53" s="183"/>
      <c r="Q53" s="183"/>
      <c r="R53" s="183"/>
      <c r="S53" s="183"/>
      <c r="T53" s="183"/>
      <c r="U53" s="183"/>
      <c r="V53" s="183"/>
      <c r="W53" s="183"/>
      <c r="X53" s="183"/>
      <c r="AD53" s="183"/>
      <c r="AE53" s="183"/>
      <c r="AF53" s="183"/>
      <c r="AI53" s="183"/>
      <c r="AJ53" s="183"/>
      <c r="AK53" s="183"/>
      <c r="AL53" s="183"/>
    </row>
    <row r="54" spans="1:38" ht="12.75">
      <c r="A54" s="183"/>
      <c r="B54" s="183"/>
      <c r="C54" s="184"/>
      <c r="D54" s="184"/>
      <c r="E54" s="184"/>
      <c r="G54" s="218" t="s">
        <v>331</v>
      </c>
      <c r="H54" s="218"/>
      <c r="I54" s="218"/>
      <c r="M54" s="218" t="s">
        <v>330</v>
      </c>
      <c r="N54" s="218"/>
      <c r="O54" s="218"/>
      <c r="P54" s="218"/>
      <c r="Q54" s="218"/>
      <c r="R54" s="218"/>
      <c r="S54" s="218"/>
      <c r="T54" s="218"/>
      <c r="U54" s="218"/>
      <c r="V54" s="218"/>
      <c r="W54" s="218"/>
      <c r="X54" s="218"/>
      <c r="AA54" s="264">
        <f>AF46</f>
        <v>43078.276249999995</v>
      </c>
      <c r="AD54" s="218"/>
      <c r="AE54" s="218"/>
      <c r="AI54" s="183"/>
      <c r="AJ54" s="183"/>
      <c r="AK54" s="183"/>
      <c r="AL54" s="183"/>
    </row>
    <row r="55" spans="1:38" ht="12.75">
      <c r="A55" s="183"/>
      <c r="B55" s="183"/>
      <c r="C55" s="184"/>
      <c r="D55" s="184"/>
      <c r="E55" s="184"/>
      <c r="M55" s="183"/>
      <c r="N55" s="183"/>
      <c r="O55" s="183"/>
      <c r="P55" s="183"/>
      <c r="Q55" s="183"/>
      <c r="R55" s="183"/>
      <c r="S55" s="183"/>
      <c r="T55" s="183"/>
      <c r="U55" s="183"/>
      <c r="V55" s="183"/>
      <c r="W55" s="183"/>
      <c r="X55" s="183"/>
      <c r="Y55" s="183"/>
      <c r="Z55" s="183"/>
      <c r="AA55" s="213" t="s">
        <v>529</v>
      </c>
      <c r="AB55" s="183"/>
      <c r="AC55" s="183"/>
      <c r="AE55" s="183"/>
      <c r="AF55" s="183"/>
      <c r="AI55" s="183"/>
      <c r="AJ55" s="183"/>
      <c r="AK55" s="183"/>
      <c r="AL55" s="183"/>
    </row>
    <row r="56" spans="1:38" ht="12.75">
      <c r="A56" s="183"/>
      <c r="B56" s="183"/>
      <c r="C56" s="184"/>
      <c r="D56" s="184"/>
      <c r="E56" s="184"/>
      <c r="M56" s="183"/>
      <c r="N56" s="183"/>
      <c r="O56" s="183"/>
      <c r="P56" s="183"/>
      <c r="Q56" s="183"/>
      <c r="R56" s="183"/>
      <c r="S56" s="183"/>
      <c r="T56" s="183"/>
      <c r="U56" s="183"/>
      <c r="V56" s="183"/>
      <c r="W56" s="183"/>
      <c r="X56" s="183"/>
      <c r="Y56" s="183"/>
      <c r="Z56" s="183"/>
      <c r="AA56" s="213"/>
      <c r="AB56" s="183"/>
      <c r="AC56" s="183"/>
      <c r="AD56" s="213"/>
      <c r="AE56" s="183"/>
      <c r="AF56" s="183"/>
      <c r="AI56" s="183"/>
      <c r="AJ56" s="183"/>
      <c r="AK56" s="183"/>
      <c r="AL56" s="183"/>
    </row>
    <row r="57" spans="6:28" ht="12.75">
      <c r="F57" s="449" t="s">
        <v>325</v>
      </c>
      <c r="G57" s="449"/>
      <c r="H57" s="449"/>
      <c r="I57" s="449"/>
      <c r="J57" s="449"/>
      <c r="K57" s="449"/>
      <c r="L57" s="449"/>
      <c r="M57" s="449"/>
      <c r="N57" s="449"/>
      <c r="O57" s="449"/>
      <c r="P57" s="449"/>
      <c r="Q57" s="449"/>
      <c r="R57" s="449"/>
      <c r="S57" s="449"/>
      <c r="T57" s="449"/>
      <c r="U57" s="449"/>
      <c r="V57" s="449"/>
      <c r="W57" s="449"/>
      <c r="X57" s="449"/>
      <c r="Y57" s="449"/>
      <c r="Z57" s="449"/>
      <c r="AA57" s="449"/>
      <c r="AB57" s="449"/>
    </row>
    <row r="58" spans="6:28" ht="12.75">
      <c r="F58" s="449" t="s">
        <v>326</v>
      </c>
      <c r="G58" s="449"/>
      <c r="H58" s="449"/>
      <c r="I58" s="449"/>
      <c r="J58" s="449"/>
      <c r="K58" s="449"/>
      <c r="L58" s="449"/>
      <c r="M58" s="449"/>
      <c r="N58" s="449"/>
      <c r="O58" s="449"/>
      <c r="P58" s="449"/>
      <c r="Q58" s="449"/>
      <c r="R58" s="449"/>
      <c r="S58" s="449"/>
      <c r="T58" s="449"/>
      <c r="U58" s="449"/>
      <c r="V58" s="449"/>
      <c r="W58" s="449"/>
      <c r="X58" s="449"/>
      <c r="Y58" s="449"/>
      <c r="Z58" s="449"/>
      <c r="AA58" s="449"/>
      <c r="AB58" s="449"/>
    </row>
    <row r="59" spans="17:26" ht="12.75">
      <c r="Q59" s="184"/>
      <c r="R59" s="184"/>
      <c r="S59" s="184"/>
      <c r="T59" s="184"/>
      <c r="U59" s="184"/>
      <c r="V59" s="184"/>
      <c r="W59" s="184"/>
      <c r="X59" s="184"/>
      <c r="Y59" s="184"/>
      <c r="Z59" s="184"/>
    </row>
  </sheetData>
  <mergeCells count="8">
    <mergeCell ref="AD7:AE7"/>
    <mergeCell ref="F57:AB57"/>
    <mergeCell ref="F58:AB58"/>
    <mergeCell ref="B12:G12"/>
    <mergeCell ref="B7:F7"/>
    <mergeCell ref="B24:K24"/>
    <mergeCell ref="B32:G32"/>
    <mergeCell ref="F52:AB52"/>
  </mergeCells>
  <printOptions/>
  <pageMargins left="0.5905511811023623" right="0.1968503937007874" top="0" bottom="0"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codeName="Sheet6"/>
  <dimension ref="A1:AN37"/>
  <sheetViews>
    <sheetView workbookViewId="0" topLeftCell="A1">
      <selection activeCell="B10" sqref="B10"/>
    </sheetView>
  </sheetViews>
  <sheetFormatPr defaultColWidth="9.140625" defaultRowHeight="12.75"/>
  <cols>
    <col min="1" max="1" width="4.00390625" style="0" customWidth="1"/>
    <col min="2" max="2" width="22.00390625" style="0" bestFit="1" customWidth="1"/>
    <col min="3" max="3" width="5.421875" style="22" bestFit="1" customWidth="1"/>
    <col min="4" max="4" width="15.7109375" style="22" customWidth="1"/>
    <col min="5" max="5" width="6.7109375" style="22" bestFit="1" customWidth="1"/>
    <col min="6" max="6" width="12.140625" style="0" bestFit="1" customWidth="1"/>
    <col min="7" max="7" width="18.7109375" style="0" bestFit="1" customWidth="1"/>
    <col min="8" max="10" width="13.28125" style="0" hidden="1" customWidth="1"/>
    <col min="11" max="11" width="0.13671875" style="0" hidden="1" customWidth="1"/>
    <col min="12" max="12" width="12.7109375" style="0" hidden="1" customWidth="1"/>
    <col min="13" max="15" width="13.28125" style="0" hidden="1" customWidth="1"/>
    <col min="16" max="16" width="13.421875" style="0" hidden="1" customWidth="1"/>
    <col min="17" max="17" width="0.42578125" style="0" hidden="1" customWidth="1"/>
    <col min="18" max="18" width="12.28125" style="0" hidden="1" customWidth="1"/>
    <col min="19" max="20" width="21.7109375" style="0" hidden="1" customWidth="1"/>
    <col min="21" max="21" width="13.8515625" style="0" hidden="1" customWidth="1"/>
    <col min="22" max="26" width="12.28125" style="0" hidden="1" customWidth="1"/>
    <col min="27" max="27" width="12.28125" style="0" customWidth="1"/>
    <col min="28" max="28" width="12.57421875" style="0" bestFit="1" customWidth="1"/>
    <col min="30" max="30" width="13.421875" style="0" customWidth="1"/>
    <col min="32" max="35" width="11.00390625" style="0" customWidth="1"/>
  </cols>
  <sheetData>
    <row r="1" spans="1:40" ht="12.75">
      <c r="A1" s="4" t="s">
        <v>0</v>
      </c>
      <c r="B1" s="4"/>
      <c r="C1" s="21"/>
      <c r="D1" s="21"/>
      <c r="E1" s="21"/>
      <c r="F1" s="4"/>
      <c r="G1" s="3"/>
      <c r="H1" s="3"/>
      <c r="I1" s="3"/>
      <c r="J1" s="3"/>
      <c r="K1" s="3"/>
      <c r="L1" s="3"/>
      <c r="M1" s="3"/>
      <c r="N1" s="3"/>
      <c r="O1" s="3"/>
      <c r="P1" s="3"/>
      <c r="Q1" s="3"/>
      <c r="R1" s="3"/>
      <c r="S1" s="3"/>
      <c r="T1" s="3"/>
      <c r="U1" s="3"/>
      <c r="V1" s="3"/>
      <c r="W1" s="3"/>
      <c r="X1" s="3"/>
      <c r="Y1" s="3"/>
      <c r="Z1" s="3"/>
      <c r="AA1" s="3"/>
      <c r="AB1" s="3"/>
      <c r="AC1" s="3"/>
      <c r="AD1" s="3"/>
      <c r="AE1" s="438" t="s">
        <v>2</v>
      </c>
      <c r="AF1" s="438"/>
      <c r="AG1" s="5"/>
      <c r="AH1" s="5"/>
      <c r="AJ1" s="3"/>
      <c r="AK1" s="3"/>
      <c r="AL1" s="3"/>
      <c r="AM1" s="3"/>
      <c r="AN1" s="3"/>
    </row>
    <row r="2" spans="1:40" ht="12.75">
      <c r="A2" s="3" t="s">
        <v>410</v>
      </c>
      <c r="B2" s="3"/>
      <c r="C2" s="5"/>
      <c r="D2" s="5"/>
      <c r="E2" s="5"/>
      <c r="F2" s="3"/>
      <c r="G2" s="3"/>
      <c r="H2" s="3"/>
      <c r="I2" s="3"/>
      <c r="J2" s="3"/>
      <c r="K2" s="3"/>
      <c r="L2" s="3"/>
      <c r="M2" s="3"/>
      <c r="N2" s="3"/>
      <c r="O2" s="3"/>
      <c r="P2" s="3"/>
      <c r="Q2" s="3"/>
      <c r="R2" s="3"/>
      <c r="S2" s="3"/>
      <c r="T2" s="3"/>
      <c r="U2" s="3"/>
      <c r="V2" s="3"/>
      <c r="W2" s="3"/>
      <c r="X2" s="3"/>
      <c r="Y2" s="3"/>
      <c r="Z2" s="3"/>
      <c r="AA2" s="3"/>
      <c r="AB2" s="3"/>
      <c r="AC2" s="3"/>
      <c r="AD2" s="3"/>
      <c r="AE2" s="438" t="s">
        <v>3</v>
      </c>
      <c r="AF2" s="438"/>
      <c r="AG2" s="5"/>
      <c r="AH2" s="5"/>
      <c r="AJ2" s="3"/>
      <c r="AK2" s="3"/>
      <c r="AL2" s="3"/>
      <c r="AM2" s="3"/>
      <c r="AN2" s="3"/>
    </row>
    <row r="3" spans="1:40" ht="12.75">
      <c r="A3" s="3"/>
      <c r="B3" s="3"/>
      <c r="C3" s="5"/>
      <c r="D3" s="5"/>
      <c r="E3" s="5"/>
      <c r="F3" s="3"/>
      <c r="G3" s="3"/>
      <c r="H3" s="3"/>
      <c r="I3" s="3"/>
      <c r="J3" s="3"/>
      <c r="K3" s="3"/>
      <c r="L3" s="3"/>
      <c r="M3" s="3"/>
      <c r="N3" s="3"/>
      <c r="O3" s="3"/>
      <c r="P3" s="3"/>
      <c r="Q3" s="3"/>
      <c r="R3" s="3"/>
      <c r="S3" s="3"/>
      <c r="T3" s="3"/>
      <c r="U3" s="3"/>
      <c r="V3" s="3"/>
      <c r="W3" s="3"/>
      <c r="X3" s="3"/>
      <c r="Y3" s="3"/>
      <c r="Z3" s="3"/>
      <c r="AA3" s="3"/>
      <c r="AB3" s="3"/>
      <c r="AC3" s="3"/>
      <c r="AD3" s="3"/>
      <c r="AE3" s="445" t="s">
        <v>409</v>
      </c>
      <c r="AF3" s="445"/>
      <c r="AG3" s="5"/>
      <c r="AH3" s="5"/>
      <c r="AJ3" s="3"/>
      <c r="AK3" s="3"/>
      <c r="AL3" s="3"/>
      <c r="AM3" s="3"/>
      <c r="AN3" s="3"/>
    </row>
    <row r="4" spans="1:40" ht="12.75">
      <c r="A4" s="3"/>
      <c r="B4" s="3"/>
      <c r="C4" s="5"/>
      <c r="D4" s="5"/>
      <c r="E4" s="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2.75">
      <c r="A5" s="3"/>
      <c r="B5" s="3"/>
      <c r="C5" s="5"/>
      <c r="D5" s="5"/>
      <c r="E5" s="5"/>
      <c r="F5" s="3"/>
      <c r="G5" s="452" t="s">
        <v>1</v>
      </c>
      <c r="H5" s="452"/>
      <c r="I5" s="452"/>
      <c r="J5" s="452"/>
      <c r="K5" s="452"/>
      <c r="L5" s="452"/>
      <c r="M5" s="452"/>
      <c r="N5" s="452"/>
      <c r="O5" s="452"/>
      <c r="P5" s="452"/>
      <c r="Q5" s="452"/>
      <c r="R5" s="452"/>
      <c r="S5" s="452"/>
      <c r="T5" s="452"/>
      <c r="U5" s="452"/>
      <c r="V5" s="452"/>
      <c r="W5" s="452"/>
      <c r="X5" s="452"/>
      <c r="Y5" s="452"/>
      <c r="Z5" s="452"/>
      <c r="AA5" s="452"/>
      <c r="AB5" s="3"/>
      <c r="AC5" s="3"/>
      <c r="AD5" s="3"/>
      <c r="AE5" s="3"/>
      <c r="AF5" s="3"/>
      <c r="AG5" s="3"/>
      <c r="AH5" s="3"/>
      <c r="AI5" s="3"/>
      <c r="AJ5" s="3"/>
      <c r="AK5" s="3"/>
      <c r="AL5" s="3"/>
      <c r="AM5" s="3"/>
      <c r="AN5" s="3"/>
    </row>
    <row r="6" spans="6:40" ht="12.75">
      <c r="F6" s="92"/>
      <c r="I6" s="92"/>
      <c r="J6" s="92"/>
      <c r="K6" s="92"/>
      <c r="L6" s="92"/>
      <c r="M6" s="92"/>
      <c r="N6" s="92"/>
      <c r="O6" s="92"/>
      <c r="P6" s="92"/>
      <c r="Q6" s="92"/>
      <c r="R6" s="92"/>
      <c r="S6" s="92"/>
      <c r="T6" s="92"/>
      <c r="U6" s="92"/>
      <c r="V6" s="92"/>
      <c r="W6" s="92"/>
      <c r="X6" s="92"/>
      <c r="Y6" s="92"/>
      <c r="Z6" s="92" t="s">
        <v>1</v>
      </c>
      <c r="AA6" s="92"/>
      <c r="AB6" s="92"/>
      <c r="AC6" s="92"/>
      <c r="AD6" s="92"/>
      <c r="AE6" s="92"/>
      <c r="AF6" s="92"/>
      <c r="AG6" s="92"/>
      <c r="AH6" s="92"/>
      <c r="AI6" s="92"/>
      <c r="AJ6" s="3"/>
      <c r="AK6" s="3"/>
      <c r="AL6" s="3"/>
      <c r="AM6" s="3"/>
      <c r="AN6" s="3"/>
    </row>
    <row r="7" spans="1:38" ht="12.75">
      <c r="A7" s="3"/>
      <c r="B7" s="3"/>
      <c r="C7" s="5"/>
      <c r="D7" s="5"/>
      <c r="E7" s="5"/>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2.75">
      <c r="A8" s="3"/>
      <c r="B8" s="3"/>
      <c r="C8" s="5"/>
      <c r="D8" s="5"/>
      <c r="E8" s="5"/>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row>
    <row r="9" spans="1:38" ht="12.75">
      <c r="A9" s="3"/>
      <c r="B9" s="3"/>
      <c r="C9" s="5"/>
      <c r="D9" s="5"/>
      <c r="E9" s="5"/>
      <c r="F9" s="3"/>
      <c r="G9" s="3"/>
      <c r="H9" s="3"/>
      <c r="I9" s="3"/>
      <c r="J9" s="3"/>
      <c r="K9" s="3"/>
      <c r="L9" s="3"/>
      <c r="M9" s="3"/>
      <c r="N9" s="3"/>
      <c r="O9" s="3"/>
      <c r="P9" s="3"/>
      <c r="Q9" s="3"/>
      <c r="R9" s="3"/>
      <c r="S9" s="3"/>
      <c r="T9" s="3"/>
      <c r="U9" s="3"/>
      <c r="V9" s="3"/>
      <c r="W9" s="3"/>
      <c r="X9" s="3"/>
      <c r="Y9" s="3"/>
      <c r="Z9" s="3"/>
      <c r="AA9" s="3"/>
      <c r="AB9" s="3"/>
      <c r="AC9" s="3"/>
      <c r="AD9" s="3"/>
      <c r="AE9" s="445"/>
      <c r="AF9" s="445"/>
      <c r="AG9" s="83"/>
      <c r="AH9" s="83"/>
      <c r="AI9" s="3"/>
      <c r="AJ9" s="3"/>
      <c r="AK9" s="3"/>
      <c r="AL9" s="3"/>
    </row>
    <row r="10" spans="1:35" ht="13.5" thickBot="1">
      <c r="A10" s="3"/>
      <c r="B10" s="3" t="s">
        <v>510</v>
      </c>
      <c r="C10" s="5"/>
      <c r="D10" s="5"/>
      <c r="E10" s="5"/>
      <c r="F10" s="3"/>
      <c r="G10" s="3"/>
      <c r="H10" s="3"/>
      <c r="I10" s="3"/>
      <c r="J10" s="56"/>
      <c r="K10" s="56"/>
      <c r="L10" s="56"/>
      <c r="M10" s="56"/>
      <c r="N10" s="56"/>
      <c r="O10" s="56"/>
      <c r="P10" s="56"/>
      <c r="Q10" s="56"/>
      <c r="R10" s="56"/>
      <c r="S10" s="56"/>
      <c r="T10" s="56"/>
      <c r="U10" s="56"/>
      <c r="V10" s="56"/>
      <c r="W10" s="56"/>
      <c r="X10" s="56"/>
      <c r="Y10" s="56"/>
      <c r="Z10" s="56"/>
      <c r="AA10" s="56"/>
      <c r="AC10" s="55"/>
      <c r="AD10" s="26" t="s">
        <v>493</v>
      </c>
      <c r="AE10" s="54"/>
      <c r="AF10" s="56"/>
      <c r="AG10" s="56"/>
      <c r="AH10" s="56"/>
      <c r="AI10" s="54"/>
    </row>
    <row r="11" spans="1:40" s="2" customFormat="1" ht="13.5" thickBot="1">
      <c r="A11" s="28" t="s">
        <v>141</v>
      </c>
      <c r="B11" s="439" t="s">
        <v>5</v>
      </c>
      <c r="C11" s="440"/>
      <c r="D11" s="440"/>
      <c r="E11" s="440"/>
      <c r="F11" s="441"/>
      <c r="G11" s="8" t="s">
        <v>8</v>
      </c>
      <c r="H11" s="7" t="s">
        <v>17</v>
      </c>
      <c r="I11" s="7" t="s">
        <v>17</v>
      </c>
      <c r="J11" s="7" t="s">
        <v>17</v>
      </c>
      <c r="K11" s="7" t="s">
        <v>17</v>
      </c>
      <c r="L11" s="7"/>
      <c r="M11" s="7" t="s">
        <v>17</v>
      </c>
      <c r="N11" s="7" t="s">
        <v>169</v>
      </c>
      <c r="O11" s="7" t="s">
        <v>173</v>
      </c>
      <c r="P11" s="7" t="s">
        <v>178</v>
      </c>
      <c r="Q11" s="7" t="s">
        <v>178</v>
      </c>
      <c r="R11" s="86" t="s">
        <v>178</v>
      </c>
      <c r="S11" s="97" t="s">
        <v>276</v>
      </c>
      <c r="T11" s="24"/>
      <c r="U11" s="88" t="s">
        <v>167</v>
      </c>
      <c r="V11" s="88" t="s">
        <v>178</v>
      </c>
      <c r="W11" s="88" t="s">
        <v>169</v>
      </c>
      <c r="X11" s="88" t="s">
        <v>318</v>
      </c>
      <c r="Y11" s="88" t="s">
        <v>167</v>
      </c>
      <c r="Z11" s="88" t="s">
        <v>167</v>
      </c>
      <c r="AA11" s="88" t="s">
        <v>167</v>
      </c>
      <c r="AB11" s="7" t="s">
        <v>18</v>
      </c>
      <c r="AC11" s="6" t="s">
        <v>21</v>
      </c>
      <c r="AD11" s="27" t="s">
        <v>22</v>
      </c>
      <c r="AE11" s="439" t="s">
        <v>24</v>
      </c>
      <c r="AF11" s="440"/>
      <c r="AG11" s="97" t="s">
        <v>445</v>
      </c>
      <c r="AH11" s="100"/>
      <c r="AI11" s="29" t="s">
        <v>22</v>
      </c>
      <c r="AJ11" s="14"/>
      <c r="AK11" s="14"/>
      <c r="AL11" s="14"/>
      <c r="AM11" s="14"/>
      <c r="AN11" s="14"/>
    </row>
    <row r="12" spans="1:40" s="2" customFormat="1" ht="12.75">
      <c r="A12" s="9" t="s">
        <v>142</v>
      </c>
      <c r="B12" s="6" t="s">
        <v>6</v>
      </c>
      <c r="C12" s="6"/>
      <c r="D12" s="6"/>
      <c r="E12" s="6"/>
      <c r="F12" s="6" t="s">
        <v>7</v>
      </c>
      <c r="G12" s="12"/>
      <c r="H12" s="11"/>
      <c r="I12" s="11"/>
      <c r="J12" s="11"/>
      <c r="K12" s="11"/>
      <c r="L12" s="11" t="s">
        <v>179</v>
      </c>
      <c r="M12" s="11" t="s">
        <v>174</v>
      </c>
      <c r="N12" s="11"/>
      <c r="O12" s="11" t="s">
        <v>168</v>
      </c>
      <c r="P12" s="11" t="s">
        <v>168</v>
      </c>
      <c r="Q12" s="11"/>
      <c r="R12" s="11" t="s">
        <v>237</v>
      </c>
      <c r="S12" s="13" t="s">
        <v>277</v>
      </c>
      <c r="T12" s="13"/>
      <c r="U12" s="13" t="s">
        <v>170</v>
      </c>
      <c r="V12" s="10" t="s">
        <v>251</v>
      </c>
      <c r="W12" s="13" t="s">
        <v>316</v>
      </c>
      <c r="X12" s="13" t="s">
        <v>168</v>
      </c>
      <c r="Y12" s="13" t="s">
        <v>168</v>
      </c>
      <c r="Z12" s="13" t="s">
        <v>168</v>
      </c>
      <c r="AA12" s="13"/>
      <c r="AB12" s="11" t="s">
        <v>19</v>
      </c>
      <c r="AC12" s="10" t="s">
        <v>20</v>
      </c>
      <c r="AD12" s="10" t="s">
        <v>23</v>
      </c>
      <c r="AE12" s="6" t="s">
        <v>25</v>
      </c>
      <c r="AF12" s="27" t="s">
        <v>26</v>
      </c>
      <c r="AG12" s="265" t="s">
        <v>25</v>
      </c>
      <c r="AH12" s="109" t="s">
        <v>225</v>
      </c>
      <c r="AI12" s="30" t="s">
        <v>27</v>
      </c>
      <c r="AJ12" s="14"/>
      <c r="AK12" s="14"/>
      <c r="AL12" s="14"/>
      <c r="AM12" s="14"/>
      <c r="AN12" s="14"/>
    </row>
    <row r="13" spans="1:40" s="2" customFormat="1" ht="13.5" thickBot="1">
      <c r="A13" s="15"/>
      <c r="B13" s="16"/>
      <c r="C13" s="18" t="s">
        <v>335</v>
      </c>
      <c r="D13" s="18" t="s">
        <v>336</v>
      </c>
      <c r="E13" s="18" t="s">
        <v>364</v>
      </c>
      <c r="F13" s="16"/>
      <c r="G13" s="19"/>
      <c r="H13" s="16"/>
      <c r="I13" s="16"/>
      <c r="J13" s="16"/>
      <c r="K13" s="16"/>
      <c r="L13" s="16" t="s">
        <v>172</v>
      </c>
      <c r="M13" s="16" t="s">
        <v>175</v>
      </c>
      <c r="N13" s="16"/>
      <c r="O13" s="16" t="s">
        <v>172</v>
      </c>
      <c r="P13" s="16" t="s">
        <v>182</v>
      </c>
      <c r="Q13" s="16"/>
      <c r="R13" s="16" t="s">
        <v>230</v>
      </c>
      <c r="S13" s="18"/>
      <c r="T13" s="18"/>
      <c r="U13" s="128">
        <v>2005</v>
      </c>
      <c r="V13" s="131">
        <v>2004</v>
      </c>
      <c r="W13" s="128" t="s">
        <v>317</v>
      </c>
      <c r="X13" s="128"/>
      <c r="Y13" s="128">
        <v>2005</v>
      </c>
      <c r="Z13" s="128">
        <v>2005</v>
      </c>
      <c r="AA13" s="128"/>
      <c r="AB13" s="16"/>
      <c r="AC13" s="16"/>
      <c r="AD13" s="16"/>
      <c r="AE13" s="16"/>
      <c r="AF13" s="87"/>
      <c r="AG13" s="103"/>
      <c r="AH13" s="98"/>
      <c r="AI13" s="31"/>
      <c r="AJ13" s="14"/>
      <c r="AK13" s="14"/>
      <c r="AL13" s="14"/>
      <c r="AM13" s="14"/>
      <c r="AN13" s="14"/>
    </row>
    <row r="14" spans="1:40" s="2" customFormat="1" ht="12.75">
      <c r="A14" s="14"/>
      <c r="B14" s="14"/>
      <c r="C14" s="84"/>
      <c r="D14" s="84"/>
      <c r="E14" s="84"/>
      <c r="F14" s="14"/>
      <c r="G14" s="14"/>
      <c r="H14" s="14"/>
      <c r="I14" s="14"/>
      <c r="J14" s="14"/>
      <c r="K14" s="14"/>
      <c r="L14" s="14"/>
      <c r="M14" s="14"/>
      <c r="N14" s="14"/>
      <c r="O14" s="14"/>
      <c r="P14" s="14"/>
      <c r="Q14" s="14"/>
      <c r="R14" s="14"/>
      <c r="S14" s="14"/>
      <c r="T14" s="14"/>
      <c r="V14" s="14"/>
      <c r="W14" s="14"/>
      <c r="X14" s="14"/>
      <c r="Y14" s="14"/>
      <c r="Z14" s="14"/>
      <c r="AA14" s="14"/>
      <c r="AB14" s="14"/>
      <c r="AC14" s="14"/>
      <c r="AD14" s="14"/>
      <c r="AE14" s="14"/>
      <c r="AF14" s="14"/>
      <c r="AG14" s="14"/>
      <c r="AH14" s="14"/>
      <c r="AI14" s="14"/>
      <c r="AJ14" s="14"/>
      <c r="AK14" s="14"/>
      <c r="AL14" s="14"/>
      <c r="AM14" s="14"/>
      <c r="AN14" s="14"/>
    </row>
    <row r="15" spans="1:40" s="2" customFormat="1" ht="12.75">
      <c r="A15" s="14"/>
      <c r="B15" s="14"/>
      <c r="C15" s="84"/>
      <c r="D15" s="84"/>
      <c r="E15" s="84"/>
      <c r="F15" s="14"/>
      <c r="G15" s="14"/>
      <c r="H15" s="14"/>
      <c r="I15" s="14"/>
      <c r="J15" s="14"/>
      <c r="K15" s="14"/>
      <c r="L15" s="14"/>
      <c r="M15" s="14"/>
      <c r="N15" s="14"/>
      <c r="O15" s="14"/>
      <c r="P15" s="14"/>
      <c r="Q15" s="14"/>
      <c r="R15" s="14"/>
      <c r="S15" s="14"/>
      <c r="T15" s="14"/>
      <c r="V15" s="14"/>
      <c r="W15" s="14"/>
      <c r="X15" s="14"/>
      <c r="Y15" s="14"/>
      <c r="Z15" s="14"/>
      <c r="AA15" s="14"/>
      <c r="AB15" s="14"/>
      <c r="AC15" s="14"/>
      <c r="AD15" s="14"/>
      <c r="AE15" s="14"/>
      <c r="AF15" s="14"/>
      <c r="AG15" s="14"/>
      <c r="AH15" s="14"/>
      <c r="AI15" s="14"/>
      <c r="AJ15" s="14"/>
      <c r="AK15" s="14"/>
      <c r="AL15" s="14"/>
      <c r="AM15" s="14"/>
      <c r="AN15" s="14"/>
    </row>
    <row r="16" spans="1:40" ht="12.75">
      <c r="A16" s="3">
        <v>22</v>
      </c>
      <c r="B16" s="138" t="s">
        <v>413</v>
      </c>
      <c r="C16" s="66" t="s">
        <v>339</v>
      </c>
      <c r="D16" s="66" t="s">
        <v>340</v>
      </c>
      <c r="E16" s="66">
        <v>1</v>
      </c>
      <c r="F16" s="3"/>
      <c r="G16" s="3" t="s">
        <v>162</v>
      </c>
      <c r="H16" s="3">
        <v>4023000</v>
      </c>
      <c r="I16" s="66">
        <f>H16*1.0829</f>
        <v>4356506.7</v>
      </c>
      <c r="J16" s="66">
        <f>CEILING(I16*1.03,1000)</f>
        <v>4488000</v>
      </c>
      <c r="K16" s="3">
        <v>4724000</v>
      </c>
      <c r="L16" s="3"/>
      <c r="M16" s="66">
        <f>CEILING(K16*1.12,1000)</f>
        <v>5291000</v>
      </c>
      <c r="N16" s="81">
        <f>L16-M16</f>
        <v>-5291000</v>
      </c>
      <c r="O16" s="3">
        <f>N16*0.38</f>
        <v>-2010580</v>
      </c>
      <c r="P16" s="3">
        <f>M16+O16</f>
        <v>3280420</v>
      </c>
      <c r="Q16" s="3">
        <v>8200000</v>
      </c>
      <c r="R16" s="81">
        <f>CEILING(Q16*1.06,1000)</f>
        <v>8692000</v>
      </c>
      <c r="S16" s="81" t="s">
        <v>310</v>
      </c>
      <c r="T16" s="81" t="s">
        <v>313</v>
      </c>
      <c r="U16">
        <v>13158000</v>
      </c>
      <c r="V16" s="81">
        <v>11057000</v>
      </c>
      <c r="W16" s="81">
        <f>U16-V16</f>
        <v>2101000</v>
      </c>
      <c r="X16" s="81">
        <f>W16*45%</f>
        <v>945450</v>
      </c>
      <c r="Y16" s="81">
        <f>SUM(V16,X16)</f>
        <v>12002450</v>
      </c>
      <c r="Z16" s="81">
        <f>ROUNDUP(Y16,-3)</f>
        <v>12003000</v>
      </c>
      <c r="AA16" s="81">
        <v>1465</v>
      </c>
      <c r="AB16" s="56"/>
      <c r="AC16" s="56"/>
      <c r="AD16" s="26">
        <f>SUM(AA16:AC16)</f>
        <v>1465</v>
      </c>
      <c r="AE16" s="20">
        <v>0.25</v>
      </c>
      <c r="AF16" s="3">
        <f>AD16*AE16</f>
        <v>366.25</v>
      </c>
      <c r="AG16" s="20">
        <v>0.25</v>
      </c>
      <c r="AH16" s="3">
        <f>AD16*AG16</f>
        <v>366.25</v>
      </c>
      <c r="AI16" s="3">
        <f>SUM(AD16,AF16,AH16)</f>
        <v>2197.5</v>
      </c>
      <c r="AJ16" s="3"/>
      <c r="AK16" s="3"/>
      <c r="AL16" s="3"/>
      <c r="AM16" s="3"/>
      <c r="AN16" s="3"/>
    </row>
    <row r="17" spans="1:40" ht="12.75">
      <c r="A17" s="3">
        <v>23</v>
      </c>
      <c r="B17" s="138" t="s">
        <v>413</v>
      </c>
      <c r="C17" s="66" t="s">
        <v>339</v>
      </c>
      <c r="D17" s="66" t="s">
        <v>340</v>
      </c>
      <c r="E17" s="66">
        <v>1</v>
      </c>
      <c r="F17" s="3"/>
      <c r="G17" s="3" t="s">
        <v>412</v>
      </c>
      <c r="H17" s="3">
        <v>2624000</v>
      </c>
      <c r="I17" s="66">
        <f>H17*1.0829</f>
        <v>2841529.6</v>
      </c>
      <c r="J17" s="66">
        <f>CEILING(I17*1.03,1000)</f>
        <v>2927000</v>
      </c>
      <c r="K17" s="81">
        <v>4178000</v>
      </c>
      <c r="L17" s="81"/>
      <c r="M17" s="66">
        <f>CEILING(K17*1.12,1000)</f>
        <v>4680000</v>
      </c>
      <c r="N17" s="66"/>
      <c r="O17" s="66"/>
      <c r="P17" s="66"/>
      <c r="Q17" s="81">
        <v>7405000</v>
      </c>
      <c r="R17" s="81">
        <f>CEILING(Q17*1.06,1000)</f>
        <v>7850000</v>
      </c>
      <c r="S17" s="81" t="s">
        <v>311</v>
      </c>
      <c r="T17" s="81" t="s">
        <v>314</v>
      </c>
      <c r="U17">
        <v>11784000</v>
      </c>
      <c r="V17" s="81">
        <v>9902000</v>
      </c>
      <c r="W17" s="81">
        <f>U17-V17</f>
        <v>1882000</v>
      </c>
      <c r="X17" s="81">
        <f>W17*45%</f>
        <v>846900</v>
      </c>
      <c r="Y17" s="81">
        <f>SUM(V17,X17)</f>
        <v>10748900</v>
      </c>
      <c r="Z17" s="81">
        <f>ROUNDUP(Y17,-3)</f>
        <v>10749000</v>
      </c>
      <c r="AA17" s="81">
        <v>1465</v>
      </c>
      <c r="AB17" s="3"/>
      <c r="AC17" s="3"/>
      <c r="AD17" s="26">
        <f>SUM(AA17:AC17)</f>
        <v>1465</v>
      </c>
      <c r="AE17" s="20">
        <v>0.25</v>
      </c>
      <c r="AF17" s="3">
        <f>AD17*AE17</f>
        <v>366.25</v>
      </c>
      <c r="AG17" s="20">
        <v>0.25</v>
      </c>
      <c r="AH17" s="3">
        <f>AD17*AG17</f>
        <v>366.25</v>
      </c>
      <c r="AI17" s="3">
        <f>SUM(AD17,AF17,AH17)</f>
        <v>2197.5</v>
      </c>
      <c r="AJ17" s="3"/>
      <c r="AK17" s="3"/>
      <c r="AL17" s="3"/>
      <c r="AM17" s="3"/>
      <c r="AN17" s="3"/>
    </row>
    <row r="18" spans="1:40" ht="12.75">
      <c r="A18" s="3">
        <v>24</v>
      </c>
      <c r="B18" s="138" t="s">
        <v>413</v>
      </c>
      <c r="C18" s="66" t="s">
        <v>339</v>
      </c>
      <c r="D18" s="66" t="s">
        <v>344</v>
      </c>
      <c r="E18" s="66">
        <v>1</v>
      </c>
      <c r="F18" s="3"/>
      <c r="G18" s="3" t="s">
        <v>236</v>
      </c>
      <c r="H18" s="3">
        <v>2624000</v>
      </c>
      <c r="I18" s="66">
        <f>H18*1.0829</f>
        <v>2841529.6</v>
      </c>
      <c r="J18" s="66">
        <f>CEILING(I18*1.03,1000)</f>
        <v>2927000</v>
      </c>
      <c r="K18" s="81">
        <v>3257000</v>
      </c>
      <c r="L18" s="81"/>
      <c r="M18" s="66">
        <f>CEILING(K18*1.12,1000)</f>
        <v>3648000</v>
      </c>
      <c r="N18" s="66"/>
      <c r="O18" s="66"/>
      <c r="P18" s="66"/>
      <c r="Q18" s="81">
        <v>6707000</v>
      </c>
      <c r="R18" s="81">
        <v>4452000</v>
      </c>
      <c r="S18" s="81" t="s">
        <v>312</v>
      </c>
      <c r="T18" s="81" t="s">
        <v>315</v>
      </c>
      <c r="U18">
        <v>7162000</v>
      </c>
      <c r="V18" s="81">
        <v>6018000</v>
      </c>
      <c r="W18" s="81">
        <f>U18-V18</f>
        <v>1144000</v>
      </c>
      <c r="X18" s="81">
        <f>W18*45%</f>
        <v>514800</v>
      </c>
      <c r="Y18" s="81">
        <f>SUM(V18,X18)</f>
        <v>6532800</v>
      </c>
      <c r="Z18" s="81">
        <f>ROUNDUP(Y18,-3)</f>
        <v>6533000</v>
      </c>
      <c r="AA18" s="81">
        <v>799</v>
      </c>
      <c r="AB18" s="3"/>
      <c r="AC18" s="3"/>
      <c r="AD18" s="26">
        <f>SUM(AA18:AC18)</f>
        <v>799</v>
      </c>
      <c r="AE18" s="20">
        <v>0.2</v>
      </c>
      <c r="AF18" s="3">
        <f>AD18*AE18</f>
        <v>159.8</v>
      </c>
      <c r="AG18" s="20">
        <v>0.25</v>
      </c>
      <c r="AH18" s="3">
        <f>AD18*AG18</f>
        <v>199.75</v>
      </c>
      <c r="AI18" s="3">
        <f>SUM(AD18,AF18,AH18)</f>
        <v>1158.55</v>
      </c>
      <c r="AJ18" s="3"/>
      <c r="AK18" s="3"/>
      <c r="AL18" s="3"/>
      <c r="AM18" s="3"/>
      <c r="AN18" s="3"/>
    </row>
    <row r="19" spans="1:38" ht="12.75">
      <c r="A19" s="3"/>
      <c r="B19" s="3"/>
      <c r="C19" s="5"/>
      <c r="D19" s="5"/>
      <c r="E19" s="5"/>
      <c r="F19" s="3"/>
      <c r="G19" s="3"/>
      <c r="H19" s="3"/>
      <c r="I19" s="3"/>
      <c r="J19" s="3"/>
      <c r="K19" s="3"/>
      <c r="L19" s="3"/>
      <c r="M19" s="3"/>
      <c r="N19" s="3"/>
      <c r="O19" s="3"/>
      <c r="P19" s="3"/>
      <c r="Q19" s="3"/>
      <c r="R19" s="3"/>
      <c r="S19" s="3"/>
      <c r="T19" s="3"/>
      <c r="V19" s="3"/>
      <c r="W19" s="3"/>
      <c r="X19" s="3"/>
      <c r="Y19" s="3"/>
      <c r="Z19" s="3"/>
      <c r="AA19" s="3"/>
      <c r="AB19" s="3"/>
      <c r="AC19" s="3"/>
      <c r="AD19" s="3"/>
      <c r="AE19" s="3"/>
      <c r="AF19" s="3"/>
      <c r="AG19" s="3"/>
      <c r="AH19" s="3"/>
      <c r="AI19" s="3"/>
      <c r="AJ19" s="3"/>
      <c r="AK19" s="3"/>
      <c r="AL19" s="3"/>
    </row>
    <row r="20" spans="1:40" s="1" customFormat="1" ht="12.75">
      <c r="A20" s="4"/>
      <c r="B20" s="48" t="s">
        <v>68</v>
      </c>
      <c r="C20" s="49"/>
      <c r="D20" s="49"/>
      <c r="E20" s="49"/>
      <c r="F20" s="48"/>
      <c r="G20" s="48"/>
      <c r="H20" s="48">
        <f>SUM(H16:H18)</f>
        <v>9271000</v>
      </c>
      <c r="I20" s="48">
        <f>SUM(I16:I18)</f>
        <v>10039565.9</v>
      </c>
      <c r="J20" s="48">
        <f>SUM(J16,J18)</f>
        <v>7415000</v>
      </c>
      <c r="K20" s="48">
        <f>SUM(K16:K18)</f>
        <v>12159000</v>
      </c>
      <c r="L20" s="48"/>
      <c r="M20" s="48">
        <f>SUM(M16:M18)</f>
        <v>13619000</v>
      </c>
      <c r="N20" s="48"/>
      <c r="O20" s="48"/>
      <c r="P20" s="48"/>
      <c r="Q20" s="48">
        <f>SUM(Q16:Q19)</f>
        <v>22312000</v>
      </c>
      <c r="R20" s="48">
        <f>SUM(R16:R19)</f>
        <v>20994000</v>
      </c>
      <c r="S20" s="48"/>
      <c r="T20" s="48"/>
      <c r="V20" s="48">
        <f aca="true" t="shared" si="0" ref="V20:AA20">SUM(V16:V19)</f>
        <v>26977000</v>
      </c>
      <c r="W20" s="48">
        <f t="shared" si="0"/>
        <v>5127000</v>
      </c>
      <c r="X20" s="48">
        <f t="shared" si="0"/>
        <v>2307150</v>
      </c>
      <c r="Y20" s="48">
        <f t="shared" si="0"/>
        <v>29284150</v>
      </c>
      <c r="Z20" s="48">
        <f t="shared" si="0"/>
        <v>29285000</v>
      </c>
      <c r="AA20" s="48">
        <f t="shared" si="0"/>
        <v>3729</v>
      </c>
      <c r="AB20" s="48"/>
      <c r="AC20" s="48"/>
      <c r="AD20" s="48">
        <f>SUM(AD16:AD19)</f>
        <v>3729</v>
      </c>
      <c r="AE20" s="48"/>
      <c r="AF20" s="48">
        <f>SUM(AF16:AF19)</f>
        <v>892.3</v>
      </c>
      <c r="AG20" s="48"/>
      <c r="AH20" s="48">
        <f>SUM(AH16:AH19)</f>
        <v>932.25</v>
      </c>
      <c r="AI20" s="48">
        <f>SUM(AI16:AI19)</f>
        <v>5553.55</v>
      </c>
      <c r="AJ20" s="4"/>
      <c r="AK20" s="4"/>
      <c r="AL20" s="4"/>
      <c r="AM20" s="4"/>
      <c r="AN20" s="4"/>
    </row>
    <row r="21" spans="1:40" s="1" customFormat="1" ht="12.75">
      <c r="A21" s="4"/>
      <c r="B21" s="4"/>
      <c r="C21" s="21"/>
      <c r="D21" s="21"/>
      <c r="E21" s="21"/>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1" customFormat="1" ht="12.75">
      <c r="A22" s="4"/>
      <c r="B22" s="4"/>
      <c r="C22" s="21"/>
      <c r="D22" s="21"/>
      <c r="E22" s="21"/>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1" customFormat="1" ht="12.75">
      <c r="A23" s="4"/>
      <c r="B23" s="4"/>
      <c r="C23" s="21"/>
      <c r="D23" s="21"/>
      <c r="E23" s="21"/>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s="1" customFormat="1" ht="12.75">
      <c r="A24" s="4"/>
      <c r="B24" s="4"/>
      <c r="C24" s="21"/>
      <c r="D24" s="21"/>
      <c r="E24" s="21"/>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ht="12.75">
      <c r="A25" s="3"/>
      <c r="B25" s="3"/>
      <c r="C25" s="5"/>
      <c r="D25" s="5"/>
      <c r="E25" s="5"/>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ht="12.75">
      <c r="A26" s="3"/>
      <c r="B26" s="3"/>
      <c r="C26" s="5"/>
      <c r="D26" s="5"/>
      <c r="E26" s="5"/>
      <c r="G26" s="5" t="s">
        <v>0</v>
      </c>
      <c r="AB26" s="3"/>
      <c r="AD26" s="3"/>
      <c r="AE26" s="3"/>
      <c r="AF26" s="3"/>
      <c r="AG26" s="3"/>
      <c r="AH26" s="3"/>
      <c r="AI26" s="3"/>
      <c r="AJ26" s="3"/>
      <c r="AK26" s="3"/>
      <c r="AM26" s="3"/>
      <c r="AN26" s="3"/>
    </row>
    <row r="27" spans="1:40" ht="12.75">
      <c r="A27" s="3"/>
      <c r="B27" s="3"/>
      <c r="C27" s="5"/>
      <c r="D27" s="5"/>
      <c r="E27" s="5"/>
      <c r="G27" s="23" t="s">
        <v>432</v>
      </c>
      <c r="M27" s="83" t="s">
        <v>165</v>
      </c>
      <c r="N27" s="83"/>
      <c r="O27" s="83"/>
      <c r="P27" s="83"/>
      <c r="Q27" s="83"/>
      <c r="R27" s="83"/>
      <c r="S27" s="83"/>
      <c r="T27" s="83"/>
      <c r="U27" s="83"/>
      <c r="V27" s="83"/>
      <c r="W27" s="83"/>
      <c r="X27" s="83"/>
      <c r="Y27" s="83"/>
      <c r="Z27" s="83"/>
      <c r="AA27" s="83"/>
      <c r="AC27" s="83"/>
      <c r="AD27" s="83"/>
      <c r="AE27" s="83"/>
      <c r="AF27" s="83"/>
      <c r="AG27" s="83"/>
      <c r="AH27" s="83"/>
      <c r="AI27" s="83"/>
      <c r="AJ27" s="83"/>
      <c r="AK27" s="83"/>
      <c r="AM27" s="3"/>
      <c r="AN27" s="3"/>
    </row>
    <row r="28" spans="1:40" ht="12.75">
      <c r="A28" s="3"/>
      <c r="B28" s="3"/>
      <c r="C28" s="5"/>
      <c r="D28" s="5"/>
      <c r="E28" s="5"/>
      <c r="G28" s="5" t="s">
        <v>71</v>
      </c>
      <c r="AB28" s="3"/>
      <c r="AD28" s="3"/>
      <c r="AE28" s="3"/>
      <c r="AF28" s="3"/>
      <c r="AG28" s="3"/>
      <c r="AH28" s="3"/>
      <c r="AI28" s="3"/>
      <c r="AJ28" s="3"/>
      <c r="AK28" s="3"/>
      <c r="AM28" s="3"/>
      <c r="AN28" s="3"/>
    </row>
    <row r="29" spans="1:40" ht="12.75">
      <c r="A29" s="3"/>
      <c r="B29" s="3"/>
      <c r="C29" s="5"/>
      <c r="D29" s="5"/>
      <c r="E29" s="5"/>
      <c r="G29" s="5" t="s">
        <v>320</v>
      </c>
      <c r="AB29" s="3"/>
      <c r="AD29" s="3"/>
      <c r="AE29" s="3"/>
      <c r="AF29" s="3"/>
      <c r="AG29" s="3"/>
      <c r="AH29" s="3"/>
      <c r="AI29" s="3"/>
      <c r="AJ29" s="3"/>
      <c r="AK29" s="3"/>
      <c r="AM29" s="3"/>
      <c r="AN29" s="3"/>
    </row>
    <row r="30" spans="1:40" ht="12.75">
      <c r="A30" s="3"/>
      <c r="B30" s="3"/>
      <c r="C30" s="5"/>
      <c r="D30" s="5"/>
      <c r="E30" s="5"/>
      <c r="G30" s="5" t="s">
        <v>411</v>
      </c>
      <c r="AB30" s="3"/>
      <c r="AD30" s="3"/>
      <c r="AE30" s="3"/>
      <c r="AF30" s="3"/>
      <c r="AG30" s="3"/>
      <c r="AH30" s="3"/>
      <c r="AI30" s="3"/>
      <c r="AJ30" s="3"/>
      <c r="AK30" s="3"/>
      <c r="AM30" s="3"/>
      <c r="AN30" s="3"/>
    </row>
    <row r="31" spans="1:40" ht="12.75">
      <c r="A31" s="3"/>
      <c r="B31" s="3"/>
      <c r="C31" s="5"/>
      <c r="D31" s="5"/>
      <c r="E31" s="5"/>
      <c r="G31" s="5" t="s">
        <v>222</v>
      </c>
      <c r="AB31" s="3"/>
      <c r="AD31" s="3"/>
      <c r="AE31" s="3"/>
      <c r="AF31" s="3"/>
      <c r="AG31" s="3"/>
      <c r="AH31" s="3"/>
      <c r="AI31" s="3"/>
      <c r="AJ31" s="3"/>
      <c r="AK31" s="3"/>
      <c r="AM31" s="3"/>
      <c r="AN31" s="3"/>
    </row>
    <row r="32" spans="1:40" ht="12.75">
      <c r="A32" s="3"/>
      <c r="B32" s="3"/>
      <c r="C32" s="5"/>
      <c r="D32" s="5"/>
      <c r="E32" s="5"/>
      <c r="F32" s="90" t="s">
        <v>433</v>
      </c>
      <c r="Z32" s="143">
        <f>AI20</f>
        <v>5553.55</v>
      </c>
      <c r="AA32" s="143">
        <f>AI20</f>
        <v>5553.55</v>
      </c>
      <c r="AC32" s="90"/>
      <c r="AE32" s="3"/>
      <c r="AF32" s="3"/>
      <c r="AG32" s="3"/>
      <c r="AH32" s="3"/>
      <c r="AI32" s="3"/>
      <c r="AJ32" s="3"/>
      <c r="AK32" s="3"/>
      <c r="AM32" s="3"/>
      <c r="AN32" s="3"/>
    </row>
    <row r="33" spans="1:40" ht="12.75">
      <c r="A33" s="3"/>
      <c r="B33" s="3"/>
      <c r="C33" s="5"/>
      <c r="D33" s="5"/>
      <c r="E33" s="5"/>
      <c r="Z33" s="3" t="s">
        <v>442</v>
      </c>
      <c r="AA33" s="3" t="s">
        <v>528</v>
      </c>
      <c r="AB33" s="3"/>
      <c r="AD33" s="3"/>
      <c r="AE33" s="3"/>
      <c r="AF33" s="3"/>
      <c r="AG33" s="3"/>
      <c r="AH33" s="3"/>
      <c r="AI33" s="3"/>
      <c r="AJ33" s="3"/>
      <c r="AK33" s="3"/>
      <c r="AM33" s="3"/>
      <c r="AN33" s="3"/>
    </row>
    <row r="34" spans="1:40" ht="12.75">
      <c r="A34" s="3"/>
      <c r="B34" s="3"/>
      <c r="C34" s="5"/>
      <c r="D34" s="5"/>
      <c r="E34" s="5"/>
      <c r="AI34" s="3"/>
      <c r="AJ34" s="3"/>
      <c r="AK34" s="3"/>
      <c r="AM34" s="3"/>
      <c r="AN34" s="3"/>
    </row>
    <row r="35" spans="1:40" ht="12.75">
      <c r="A35" s="3"/>
      <c r="B35" s="3"/>
      <c r="C35" s="5"/>
      <c r="D35" s="5"/>
      <c r="E35" s="5"/>
      <c r="F35" s="83" t="s">
        <v>414</v>
      </c>
      <c r="AD35" s="5"/>
      <c r="AE35" s="5"/>
      <c r="AF35" s="5"/>
      <c r="AG35" s="5"/>
      <c r="AH35" s="5"/>
      <c r="AI35" s="5"/>
      <c r="AJ35" s="5"/>
      <c r="AK35" s="3"/>
      <c r="AM35" s="3"/>
      <c r="AN35" s="3"/>
    </row>
    <row r="36" spans="1:40" ht="12.75">
      <c r="A36" s="3"/>
      <c r="B36" s="3"/>
      <c r="C36" s="5"/>
      <c r="D36" s="5"/>
      <c r="E36" s="5"/>
      <c r="F36" s="83" t="s">
        <v>415</v>
      </c>
      <c r="G36" s="83"/>
      <c r="H36" s="83"/>
      <c r="I36" s="83"/>
      <c r="J36" s="83"/>
      <c r="K36" s="83"/>
      <c r="L36" s="83"/>
      <c r="M36" s="83"/>
      <c r="N36" s="83"/>
      <c r="O36" s="83"/>
      <c r="P36" s="83"/>
      <c r="Q36" s="83"/>
      <c r="R36" s="83"/>
      <c r="S36" s="83"/>
      <c r="T36" s="83"/>
      <c r="U36" s="83"/>
      <c r="V36" s="83"/>
      <c r="W36" s="83"/>
      <c r="X36" s="83"/>
      <c r="AG36" s="5"/>
      <c r="AH36" s="5"/>
      <c r="AI36" s="3"/>
      <c r="AJ36" s="3"/>
      <c r="AK36" s="3"/>
      <c r="AL36" s="3"/>
      <c r="AM36" s="3"/>
      <c r="AN36" s="3"/>
    </row>
    <row r="37" spans="1:40" ht="12.75">
      <c r="A37" s="3"/>
      <c r="B37" s="3"/>
      <c r="C37" s="5"/>
      <c r="D37" s="5"/>
      <c r="E37" s="5"/>
      <c r="F37" s="3"/>
      <c r="G37" s="3"/>
      <c r="H37" s="3"/>
      <c r="I37" s="3"/>
      <c r="J37" s="3"/>
      <c r="K37" s="3"/>
      <c r="L37" s="3"/>
      <c r="AI37" s="3"/>
      <c r="AJ37" s="3"/>
      <c r="AK37" s="3"/>
      <c r="AL37" s="3"/>
      <c r="AM37" s="3"/>
      <c r="AN37" s="3"/>
    </row>
  </sheetData>
  <mergeCells count="7">
    <mergeCell ref="AE1:AF1"/>
    <mergeCell ref="AE2:AF2"/>
    <mergeCell ref="AE3:AF3"/>
    <mergeCell ref="B11:F11"/>
    <mergeCell ref="AE11:AF11"/>
    <mergeCell ref="AE9:AF9"/>
    <mergeCell ref="G5:AA5"/>
  </mergeCells>
  <printOptions/>
  <pageMargins left="1.3779527559055118" right="0.1968503937007874" top="0.984251968503937" bottom="0.984251968503937" header="0.5118110236220472" footer="0.5118110236220472"/>
  <pageSetup horizontalDpi="300" verticalDpi="300" orientation="landscape" paperSize="8"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cjm</dc:creator>
  <cp:keywords/>
  <dc:description/>
  <cp:lastModifiedBy>Delia</cp:lastModifiedBy>
  <cp:lastPrinted>2007-08-23T09:28:17Z</cp:lastPrinted>
  <dcterms:created xsi:type="dcterms:W3CDTF">2000-07-07T06:30:53Z</dcterms:created>
  <dcterms:modified xsi:type="dcterms:W3CDTF">2007-09-18T08:02:07Z</dcterms:modified>
  <cp:category/>
  <cp:version/>
  <cp:contentType/>
  <cp:contentStatus/>
</cp:coreProperties>
</file>